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6" windowWidth="19392" windowHeight="8520"/>
  </bookViews>
  <sheets>
    <sheet name="排序" sheetId="2" r:id="rId1"/>
  </sheets>
  <calcPr calcId="145621"/>
</workbook>
</file>

<file path=xl/calcChain.xml><?xml version="1.0" encoding="utf-8"?>
<calcChain xmlns="http://schemas.openxmlformats.org/spreadsheetml/2006/main">
  <c r="B3" i="2" l="1"/>
  <c r="C3" i="2"/>
  <c r="F3" i="2"/>
  <c r="B4" i="2"/>
  <c r="C4" i="2"/>
  <c r="F4" i="2"/>
  <c r="B5" i="2"/>
  <c r="C5" i="2"/>
  <c r="F5" i="2"/>
  <c r="B6" i="2"/>
  <c r="C6" i="2"/>
  <c r="F6" i="2"/>
  <c r="B7" i="2"/>
  <c r="C7" i="2"/>
  <c r="F7" i="2"/>
  <c r="B8" i="2"/>
  <c r="C8" i="2"/>
  <c r="F8" i="2"/>
  <c r="B9" i="2"/>
  <c r="C9" i="2"/>
  <c r="F9" i="2"/>
  <c r="B10" i="2"/>
  <c r="C10" i="2"/>
  <c r="F10" i="2"/>
  <c r="B46" i="2" l="1"/>
  <c r="C46" i="2"/>
  <c r="F46" i="2"/>
  <c r="B47" i="2"/>
  <c r="C47" i="2"/>
  <c r="F47" i="2"/>
  <c r="F124" i="2" l="1"/>
  <c r="C124" i="2"/>
  <c r="B124" i="2"/>
  <c r="F123" i="2"/>
  <c r="C123" i="2"/>
  <c r="B123" i="2"/>
  <c r="F122" i="2"/>
  <c r="C122" i="2"/>
  <c r="B122" i="2"/>
  <c r="F121" i="2"/>
  <c r="C121" i="2"/>
  <c r="B121" i="2"/>
  <c r="F120" i="2"/>
  <c r="C120" i="2"/>
  <c r="B120" i="2"/>
  <c r="F119" i="2"/>
  <c r="C119" i="2"/>
  <c r="B119" i="2"/>
  <c r="F118" i="2"/>
  <c r="C118" i="2"/>
  <c r="B118" i="2"/>
  <c r="F101" i="2" l="1"/>
  <c r="B101" i="2"/>
  <c r="C101" i="2"/>
  <c r="F117" i="2"/>
  <c r="B117" i="2"/>
  <c r="C117" i="2"/>
  <c r="F113" i="2"/>
  <c r="B113" i="2"/>
  <c r="C113" i="2"/>
  <c r="F114" i="2"/>
  <c r="B114" i="2"/>
  <c r="C114" i="2"/>
  <c r="F115" i="2"/>
  <c r="B115" i="2"/>
  <c r="C115" i="2"/>
  <c r="F116" i="2"/>
  <c r="B116" i="2"/>
  <c r="C116" i="2"/>
  <c r="F112" i="2"/>
  <c r="B112" i="2"/>
  <c r="C112" i="2"/>
  <c r="F111" i="2"/>
  <c r="B111" i="2"/>
  <c r="C111" i="2"/>
  <c r="F110" i="2"/>
  <c r="B110" i="2"/>
  <c r="C110" i="2"/>
  <c r="F109" i="2"/>
  <c r="B109" i="2"/>
  <c r="C109" i="2"/>
  <c r="F108" i="2"/>
  <c r="B108" i="2"/>
  <c r="C108" i="2"/>
  <c r="F104" i="2"/>
  <c r="B104" i="2"/>
  <c r="C104" i="2"/>
  <c r="F105" i="2"/>
  <c r="B105" i="2"/>
  <c r="C105" i="2"/>
  <c r="F106" i="2"/>
  <c r="B106" i="2"/>
  <c r="C106" i="2"/>
  <c r="F107" i="2"/>
  <c r="B107" i="2"/>
  <c r="C107" i="2"/>
  <c r="F103" i="2"/>
  <c r="B103" i="2"/>
  <c r="C103" i="2"/>
  <c r="F102" i="2"/>
  <c r="B102" i="2"/>
  <c r="C102" i="2"/>
  <c r="F100" i="2"/>
  <c r="B100" i="2"/>
  <c r="C100" i="2"/>
  <c r="F96" i="2"/>
  <c r="B96" i="2"/>
  <c r="C96" i="2"/>
  <c r="F97" i="2"/>
  <c r="B97" i="2"/>
  <c r="C97" i="2"/>
  <c r="F98" i="2"/>
  <c r="B98" i="2"/>
  <c r="C98" i="2"/>
  <c r="F99" i="2"/>
  <c r="B99" i="2"/>
  <c r="C99" i="2"/>
  <c r="F95" i="2"/>
  <c r="B95" i="2"/>
  <c r="C95" i="2"/>
  <c r="F69" i="2"/>
  <c r="B69" i="2"/>
  <c r="C69" i="2"/>
  <c r="F70" i="2"/>
  <c r="B70" i="2"/>
  <c r="C70" i="2"/>
  <c r="F71" i="2"/>
  <c r="B71" i="2"/>
  <c r="C71" i="2"/>
  <c r="F72" i="2"/>
  <c r="B72" i="2"/>
  <c r="C72" i="2"/>
  <c r="F73" i="2"/>
  <c r="B73" i="2"/>
  <c r="C73" i="2"/>
  <c r="F74" i="2"/>
  <c r="B74" i="2"/>
  <c r="C74" i="2"/>
  <c r="F75" i="2"/>
  <c r="B75" i="2"/>
  <c r="C75" i="2"/>
  <c r="F76" i="2"/>
  <c r="B76" i="2"/>
  <c r="C76" i="2"/>
  <c r="F77" i="2"/>
  <c r="B77" i="2"/>
  <c r="C77" i="2"/>
  <c r="F78" i="2"/>
  <c r="B78" i="2"/>
  <c r="C78" i="2"/>
  <c r="F79" i="2"/>
  <c r="B79" i="2"/>
  <c r="C79" i="2"/>
  <c r="F80" i="2"/>
  <c r="B80" i="2"/>
  <c r="C80" i="2"/>
  <c r="F81" i="2"/>
  <c r="B81" i="2"/>
  <c r="C81" i="2"/>
  <c r="F82" i="2"/>
  <c r="B82" i="2"/>
  <c r="C82" i="2"/>
  <c r="F83" i="2"/>
  <c r="B83" i="2"/>
  <c r="C83" i="2"/>
  <c r="F84" i="2"/>
  <c r="B84" i="2"/>
  <c r="C84" i="2"/>
  <c r="F85" i="2"/>
  <c r="B85" i="2"/>
  <c r="C85" i="2"/>
  <c r="F86" i="2"/>
  <c r="B86" i="2"/>
  <c r="C86" i="2"/>
  <c r="F87" i="2"/>
  <c r="B87" i="2"/>
  <c r="C87" i="2"/>
  <c r="F88" i="2"/>
  <c r="B88" i="2"/>
  <c r="C88" i="2"/>
  <c r="F89" i="2"/>
  <c r="B89" i="2"/>
  <c r="C89" i="2"/>
  <c r="F90" i="2"/>
  <c r="B90" i="2"/>
  <c r="C90" i="2"/>
  <c r="F91" i="2"/>
  <c r="B91" i="2"/>
  <c r="C91" i="2"/>
  <c r="F92" i="2"/>
  <c r="B92" i="2"/>
  <c r="C92" i="2"/>
  <c r="F93" i="2"/>
  <c r="B93" i="2"/>
  <c r="C93" i="2"/>
  <c r="F94" i="2"/>
  <c r="B94" i="2"/>
  <c r="C94" i="2"/>
  <c r="F63" i="2"/>
  <c r="B63" i="2"/>
  <c r="C63" i="2"/>
  <c r="F64" i="2"/>
  <c r="B64" i="2"/>
  <c r="C64" i="2"/>
  <c r="F65" i="2"/>
  <c r="B65" i="2"/>
  <c r="C65" i="2"/>
  <c r="F66" i="2"/>
  <c r="B66" i="2"/>
  <c r="C66" i="2"/>
  <c r="F67" i="2"/>
  <c r="B67" i="2"/>
  <c r="C67" i="2"/>
  <c r="F68" i="2"/>
  <c r="B68" i="2"/>
  <c r="C68" i="2"/>
  <c r="F62" i="2"/>
  <c r="B62" i="2"/>
  <c r="C62" i="2"/>
  <c r="F61" i="2"/>
  <c r="B61" i="2"/>
  <c r="C61" i="2"/>
  <c r="F60" i="2"/>
  <c r="B60" i="2"/>
  <c r="C60" i="2"/>
  <c r="F55" i="2"/>
  <c r="B55" i="2"/>
  <c r="C55" i="2"/>
  <c r="F56" i="2"/>
  <c r="B56" i="2"/>
  <c r="C56" i="2"/>
  <c r="F57" i="2"/>
  <c r="B57" i="2"/>
  <c r="C57" i="2"/>
  <c r="F58" i="2"/>
  <c r="B58" i="2"/>
  <c r="C58" i="2"/>
  <c r="F59" i="2"/>
  <c r="B59" i="2"/>
  <c r="C59" i="2"/>
  <c r="F50" i="2"/>
  <c r="B50" i="2"/>
  <c r="C50" i="2"/>
  <c r="F51" i="2"/>
  <c r="B51" i="2"/>
  <c r="C51" i="2"/>
  <c r="F52" i="2"/>
  <c r="B52" i="2"/>
  <c r="C52" i="2"/>
  <c r="F53" i="2"/>
  <c r="B53" i="2"/>
  <c r="C53" i="2"/>
  <c r="F54" i="2"/>
  <c r="B54" i="2"/>
  <c r="C54" i="2"/>
  <c r="F49" i="2"/>
  <c r="B49" i="2"/>
  <c r="C49" i="2"/>
  <c r="F48" i="2"/>
  <c r="B48" i="2"/>
  <c r="C48" i="2"/>
  <c r="F36" i="2"/>
  <c r="B36" i="2"/>
  <c r="C36" i="2"/>
  <c r="F37" i="2"/>
  <c r="B37" i="2"/>
  <c r="C37" i="2"/>
  <c r="F38" i="2"/>
  <c r="B38" i="2"/>
  <c r="C38" i="2"/>
  <c r="F39" i="2"/>
  <c r="B39" i="2"/>
  <c r="C39" i="2"/>
  <c r="F40" i="2"/>
  <c r="B40" i="2"/>
  <c r="C40" i="2"/>
  <c r="F41" i="2"/>
  <c r="B41" i="2"/>
  <c r="C41" i="2"/>
  <c r="F42" i="2"/>
  <c r="B42" i="2"/>
  <c r="C42" i="2"/>
  <c r="F43" i="2"/>
  <c r="B43" i="2"/>
  <c r="C43" i="2"/>
  <c r="F44" i="2"/>
  <c r="B44" i="2"/>
  <c r="C44" i="2"/>
  <c r="F45" i="2"/>
  <c r="B45" i="2"/>
  <c r="C45" i="2"/>
  <c r="F35" i="2"/>
  <c r="B35" i="2"/>
  <c r="C35" i="2"/>
  <c r="F34" i="2"/>
  <c r="B34" i="2"/>
  <c r="C34" i="2"/>
  <c r="F28" i="2"/>
  <c r="B28" i="2"/>
  <c r="C28" i="2"/>
  <c r="F29" i="2"/>
  <c r="B29" i="2"/>
  <c r="C29" i="2"/>
  <c r="F26" i="2"/>
  <c r="B26" i="2"/>
  <c r="C26" i="2"/>
  <c r="F27" i="2"/>
  <c r="B27" i="2"/>
  <c r="C27" i="2"/>
  <c r="F30" i="2"/>
  <c r="B30" i="2"/>
  <c r="C30" i="2"/>
  <c r="F31" i="2"/>
  <c r="B31" i="2"/>
  <c r="C31" i="2"/>
  <c r="F32" i="2"/>
  <c r="B32" i="2"/>
  <c r="C32" i="2"/>
  <c r="F33" i="2"/>
  <c r="B33" i="2"/>
  <c r="C33" i="2"/>
  <c r="F25" i="2"/>
  <c r="B25" i="2"/>
  <c r="C25" i="2"/>
  <c r="F24" i="2"/>
  <c r="B24" i="2"/>
  <c r="C24" i="2"/>
  <c r="F23" i="2"/>
  <c r="B23" i="2"/>
  <c r="C23" i="2"/>
  <c r="F11" i="2"/>
  <c r="B11" i="2"/>
  <c r="C11" i="2"/>
  <c r="F12" i="2"/>
  <c r="B12" i="2"/>
  <c r="C12" i="2"/>
  <c r="F13" i="2"/>
  <c r="B13" i="2"/>
  <c r="C13" i="2"/>
  <c r="F14" i="2"/>
  <c r="B14" i="2"/>
  <c r="C14" i="2"/>
  <c r="F15" i="2"/>
  <c r="B15" i="2"/>
  <c r="C15" i="2"/>
  <c r="F16" i="2"/>
  <c r="B16" i="2"/>
  <c r="C16" i="2"/>
  <c r="F17" i="2"/>
  <c r="B17" i="2"/>
  <c r="C17" i="2"/>
  <c r="F18" i="2"/>
  <c r="B18" i="2"/>
  <c r="C18" i="2"/>
  <c r="F19" i="2"/>
  <c r="B19" i="2"/>
  <c r="C19" i="2"/>
  <c r="F20" i="2"/>
  <c r="B20" i="2"/>
  <c r="C20" i="2"/>
  <c r="F21" i="2"/>
  <c r="B21" i="2"/>
  <c r="C21" i="2"/>
  <c r="F22" i="2"/>
  <c r="B22" i="2"/>
  <c r="C22" i="2"/>
</calcChain>
</file>

<file path=xl/sharedStrings.xml><?xml version="1.0" encoding="utf-8"?>
<sst xmlns="http://schemas.openxmlformats.org/spreadsheetml/2006/main" count="500" uniqueCount="282">
  <si>
    <t>姓名</t>
  </si>
  <si>
    <t>准考证号</t>
  </si>
  <si>
    <t>招聘单位</t>
  </si>
  <si>
    <t>招聘专业
（岗位）</t>
    <phoneticPr fontId="1" type="noConversion"/>
  </si>
  <si>
    <t>全椒县人民医院</t>
    <phoneticPr fontId="1" type="noConversion"/>
  </si>
  <si>
    <t xml:space="preserve">临床医学        </t>
  </si>
  <si>
    <t>全椒县中医院</t>
    <phoneticPr fontId="1" type="noConversion"/>
  </si>
  <si>
    <t>临床医学</t>
  </si>
  <si>
    <t>精神医学</t>
  </si>
  <si>
    <t>医学影像学</t>
  </si>
  <si>
    <t>中医学类、中西医结合类</t>
  </si>
  <si>
    <t>中医学</t>
  </si>
  <si>
    <t>口腔医学</t>
  </si>
  <si>
    <t>护理学</t>
  </si>
  <si>
    <t>医学检验、医学检验技术</t>
  </si>
  <si>
    <t>康复治疗学</t>
  </si>
  <si>
    <t>药学</t>
  </si>
  <si>
    <t>本科：计算机类</t>
    <phoneticPr fontId="1" type="noConversion"/>
  </si>
  <si>
    <t xml:space="preserve">麻醉学            </t>
  </si>
  <si>
    <t>麻醉学</t>
  </si>
  <si>
    <t>医疗设备应用技术、医疗器械维护与管理、医疗器械工程、检测技术及应用（医疗器械方向）</t>
    <phoneticPr fontId="1" type="noConversion"/>
  </si>
  <si>
    <t>大专：医学影像技术</t>
    <phoneticPr fontId="1" type="noConversion"/>
  </si>
  <si>
    <t>县人民医院医共体基层</t>
    <phoneticPr fontId="1" type="noConversion"/>
  </si>
  <si>
    <t>大专：医学检验技术</t>
    <phoneticPr fontId="1" type="noConversion"/>
  </si>
  <si>
    <t>县中医院医共体基层</t>
    <phoneticPr fontId="1" type="noConversion"/>
  </si>
  <si>
    <t>大专：财务会计类</t>
    <phoneticPr fontId="1" type="noConversion"/>
  </si>
  <si>
    <t>专科：康复治疗技术</t>
    <phoneticPr fontId="1" type="noConversion"/>
  </si>
  <si>
    <t xml:space="preserve">专科：药学   </t>
    <phoneticPr fontId="1" type="noConversion"/>
  </si>
  <si>
    <t xml:space="preserve">专科：临床医学  </t>
    <phoneticPr fontId="1" type="noConversion"/>
  </si>
  <si>
    <t>大专：中医学、中医骨伤、针灸推拿</t>
    <phoneticPr fontId="1" type="noConversion"/>
  </si>
  <si>
    <t>大专:助产</t>
    <phoneticPr fontId="1" type="noConversion"/>
  </si>
  <si>
    <t>大专：护理、助产</t>
    <phoneticPr fontId="1" type="noConversion"/>
  </si>
  <si>
    <t>权重
0.3</t>
    <phoneticPr fontId="1" type="noConversion"/>
  </si>
  <si>
    <t>专业基
础知识</t>
    <phoneticPr fontId="1" type="noConversion"/>
  </si>
  <si>
    <t>权重
0.7</t>
    <phoneticPr fontId="1" type="noConversion"/>
  </si>
  <si>
    <t>合计</t>
    <phoneticPr fontId="1" type="noConversion"/>
  </si>
  <si>
    <t>公共基
础知识</t>
    <phoneticPr fontId="1" type="noConversion"/>
  </si>
  <si>
    <t>79.25</t>
  </si>
  <si>
    <t>74.07</t>
  </si>
  <si>
    <t>78.1</t>
  </si>
  <si>
    <t>80.43</t>
  </si>
  <si>
    <t>70.47</t>
  </si>
  <si>
    <t>68.97</t>
  </si>
  <si>
    <t>87.88</t>
  </si>
  <si>
    <t>74.56</t>
  </si>
  <si>
    <t>78.09</t>
  </si>
  <si>
    <t>60.48</t>
  </si>
  <si>
    <t>85.95</t>
  </si>
  <si>
    <t>74.28</t>
  </si>
  <si>
    <t>85.53</t>
  </si>
  <si>
    <t>78.85</t>
  </si>
  <si>
    <t>79.4</t>
  </si>
  <si>
    <t>80.59</t>
  </si>
  <si>
    <t>81.73</t>
  </si>
  <si>
    <t>80.47</t>
  </si>
  <si>
    <t>71.54</t>
  </si>
  <si>
    <t>86.95</t>
  </si>
  <si>
    <t>72.32</t>
  </si>
  <si>
    <t>78.5</t>
  </si>
  <si>
    <t>74.22</t>
  </si>
  <si>
    <t>78.77</t>
  </si>
  <si>
    <t>75.75</t>
  </si>
  <si>
    <t>80.85</t>
  </si>
  <si>
    <t>81.99</t>
  </si>
  <si>
    <t>72.23</t>
  </si>
  <si>
    <t>77.74</t>
  </si>
  <si>
    <t>79.14</t>
  </si>
  <si>
    <t>82.28</t>
  </si>
  <si>
    <t>73.62</t>
  </si>
  <si>
    <t>78.32</t>
  </si>
  <si>
    <t>79.65</t>
  </si>
  <si>
    <t>72.43</t>
  </si>
  <si>
    <t>76.65</t>
  </si>
  <si>
    <t>79.11</t>
  </si>
  <si>
    <t>78.71</t>
  </si>
  <si>
    <t>76.91</t>
  </si>
  <si>
    <t>79.87</t>
  </si>
  <si>
    <t>73.57</t>
  </si>
  <si>
    <t>82.37</t>
  </si>
  <si>
    <t>71.26</t>
  </si>
  <si>
    <t>77.22</t>
  </si>
  <si>
    <t>77.28</t>
  </si>
  <si>
    <t>67.47</t>
  </si>
  <si>
    <t>79.29</t>
  </si>
  <si>
    <t>77.51</t>
  </si>
  <si>
    <t>80.67</t>
  </si>
  <si>
    <t>75.39</t>
  </si>
  <si>
    <t>82.25</t>
  </si>
  <si>
    <t>83.27</t>
  </si>
  <si>
    <t>71.02</t>
  </si>
  <si>
    <t>91.11</t>
  </si>
  <si>
    <t>73.74</t>
  </si>
  <si>
    <t>81.64</t>
  </si>
  <si>
    <t>78.75</t>
  </si>
  <si>
    <t>79.83</t>
  </si>
  <si>
    <t>71.19</t>
  </si>
  <si>
    <t>81.67</t>
  </si>
  <si>
    <t>71.91</t>
  </si>
  <si>
    <t>82.69</t>
  </si>
  <si>
    <t>71.22</t>
  </si>
  <si>
    <t>86.9</t>
  </si>
  <si>
    <t>74.72</t>
  </si>
  <si>
    <t>80.78</t>
  </si>
  <si>
    <t>77.06</t>
  </si>
  <si>
    <t>80.94</t>
  </si>
  <si>
    <t>74.63</t>
  </si>
  <si>
    <t>83.87</t>
  </si>
  <si>
    <t>77.52</t>
  </si>
  <si>
    <t>81.86</t>
  </si>
  <si>
    <t>79.89</t>
  </si>
  <si>
    <t>66.63</t>
  </si>
  <si>
    <t>82.09</t>
  </si>
  <si>
    <t>77.82</t>
  </si>
  <si>
    <t>77.99</t>
  </si>
  <si>
    <t>70.56</t>
  </si>
  <si>
    <t>72.71</t>
  </si>
  <si>
    <t>82.12</t>
  </si>
  <si>
    <t>69.72</t>
  </si>
  <si>
    <t>63.63</t>
  </si>
  <si>
    <t>84.85</t>
  </si>
  <si>
    <t>68.57</t>
  </si>
  <si>
    <t>78.62</t>
  </si>
  <si>
    <t>73.72</t>
  </si>
  <si>
    <t>76.23</t>
  </si>
  <si>
    <t>76.29</t>
  </si>
  <si>
    <t>70.66</t>
  </si>
  <si>
    <t>71.59</t>
  </si>
  <si>
    <t>81.06</t>
  </si>
  <si>
    <t>83.59</t>
  </si>
  <si>
    <t>57.3</t>
  </si>
  <si>
    <t>69.79</t>
  </si>
  <si>
    <t>79.85</t>
  </si>
  <si>
    <t>66.92</t>
  </si>
  <si>
    <t>69.97</t>
  </si>
  <si>
    <t>68.39</t>
  </si>
  <si>
    <t>79.94</t>
  </si>
  <si>
    <t>77.03</t>
  </si>
  <si>
    <t>82.07</t>
  </si>
  <si>
    <t>71.05</t>
  </si>
  <si>
    <t>73.41</t>
  </si>
  <si>
    <t>65.52</t>
  </si>
  <si>
    <t>73.4</t>
  </si>
  <si>
    <t>75.3</t>
  </si>
  <si>
    <t>75.63</t>
  </si>
  <si>
    <t>65.24</t>
  </si>
  <si>
    <t>75.89</t>
  </si>
  <si>
    <t>75.54</t>
  </si>
  <si>
    <t>71.39</t>
  </si>
  <si>
    <t>84.95</t>
  </si>
  <si>
    <t>84.78</t>
  </si>
  <si>
    <t>66.75</t>
  </si>
  <si>
    <t>73.54</t>
  </si>
  <si>
    <t>74.34</t>
  </si>
  <si>
    <t>80.89</t>
  </si>
  <si>
    <t>68.94</t>
  </si>
  <si>
    <t>73.18</t>
  </si>
  <si>
    <t>75.44</t>
  </si>
  <si>
    <t>80.38</t>
  </si>
  <si>
    <t>77.45</t>
  </si>
  <si>
    <t>73.99</t>
  </si>
  <si>
    <t>86.08</t>
  </si>
  <si>
    <t>70.07</t>
  </si>
  <si>
    <t>72.67</t>
  </si>
  <si>
    <t>73.69</t>
  </si>
  <si>
    <t>81.89</t>
  </si>
  <si>
    <t>74.26</t>
  </si>
  <si>
    <t>83.46</t>
  </si>
  <si>
    <t>68.3</t>
  </si>
  <si>
    <t>77.36</t>
  </si>
  <si>
    <t>87.27</t>
  </si>
  <si>
    <t>81.91</t>
  </si>
  <si>
    <t>86.81</t>
  </si>
  <si>
    <t>80.57</t>
  </si>
  <si>
    <t>76.79</t>
  </si>
  <si>
    <t>90.09</t>
  </si>
  <si>
    <t>81.15</t>
  </si>
  <si>
    <t>68.19</t>
  </si>
  <si>
    <t>82.78</t>
  </si>
  <si>
    <t>87.31</t>
  </si>
  <si>
    <t>81.47</t>
  </si>
  <si>
    <t>80.24</t>
  </si>
  <si>
    <t>91.81</t>
  </si>
  <si>
    <t>66.41</t>
  </si>
  <si>
    <t>78.56</t>
  </si>
  <si>
    <t>73.98</t>
  </si>
  <si>
    <t>71.98</t>
  </si>
  <si>
    <t>80.88</t>
  </si>
  <si>
    <t>84.86</t>
  </si>
  <si>
    <t>59.44</t>
  </si>
  <si>
    <t>65.09</t>
  </si>
  <si>
    <t>71.45</t>
  </si>
  <si>
    <t>80.12</t>
  </si>
  <si>
    <t>74.62</t>
  </si>
  <si>
    <t>67.93</t>
  </si>
  <si>
    <t>75.2</t>
  </si>
  <si>
    <t>84.03</t>
  </si>
  <si>
    <t>71.14</t>
  </si>
  <si>
    <t>82.97</t>
  </si>
  <si>
    <t>74.2</t>
  </si>
  <si>
    <t>82.9</t>
  </si>
  <si>
    <t>66.25</t>
  </si>
  <si>
    <t>69.89</t>
  </si>
  <si>
    <t>83.21</t>
  </si>
  <si>
    <t>83.79</t>
  </si>
  <si>
    <t>89.35</t>
  </si>
  <si>
    <t>63.75</t>
  </si>
  <si>
    <t>83.8</t>
  </si>
  <si>
    <t>62.18</t>
  </si>
  <si>
    <t>83.9</t>
  </si>
  <si>
    <t>81.24</t>
  </si>
  <si>
    <t>85.88</t>
  </si>
  <si>
    <t>87.82</t>
  </si>
  <si>
    <t>75.05</t>
  </si>
  <si>
    <t>67.26</t>
  </si>
  <si>
    <t>83.71</t>
  </si>
  <si>
    <t>78.13</t>
  </si>
  <si>
    <t>79.34</t>
  </si>
  <si>
    <t>84.16</t>
  </si>
  <si>
    <t>83.29</t>
  </si>
  <si>
    <t>75.91</t>
  </si>
  <si>
    <t>66.06</t>
  </si>
  <si>
    <t>82.19</t>
  </si>
  <si>
    <t>73.21</t>
  </si>
  <si>
    <t>84.32</t>
  </si>
  <si>
    <t>64.26</t>
  </si>
  <si>
    <t>83</t>
  </si>
  <si>
    <t>82.66</t>
  </si>
  <si>
    <t>70.34</t>
  </si>
  <si>
    <t>82.47</t>
  </si>
  <si>
    <t>79.46</t>
  </si>
  <si>
    <t>63.31</t>
  </si>
  <si>
    <t>66.69</t>
  </si>
  <si>
    <t>84.19</t>
  </si>
  <si>
    <t>70.71</t>
  </si>
  <si>
    <t>84</t>
  </si>
  <si>
    <t>70.5</t>
  </si>
  <si>
    <t>79.54</t>
  </si>
  <si>
    <t>77.21</t>
  </si>
  <si>
    <t>80.56</t>
  </si>
  <si>
    <t>84.88</t>
  </si>
  <si>
    <t>83.01</t>
  </si>
  <si>
    <t>68.2</t>
  </si>
  <si>
    <t>82.4</t>
  </si>
  <si>
    <t>63.32</t>
  </si>
  <si>
    <t>83.07</t>
  </si>
  <si>
    <t>78.35</t>
  </si>
  <si>
    <t>85.2</t>
  </si>
  <si>
    <t>77.23</t>
  </si>
  <si>
    <t>85.09</t>
  </si>
  <si>
    <t>71.21</t>
  </si>
  <si>
    <t>82.85</t>
  </si>
  <si>
    <t>79.96</t>
  </si>
  <si>
    <t>81.09</t>
  </si>
  <si>
    <t>87.72</t>
  </si>
  <si>
    <t>81.79</t>
  </si>
  <si>
    <t>82.38</t>
  </si>
  <si>
    <t>68</t>
  </si>
  <si>
    <t>86.12</t>
  </si>
  <si>
    <t>81.69</t>
  </si>
  <si>
    <t>71.43</t>
  </si>
  <si>
    <t>85.29</t>
  </si>
  <si>
    <t>67.4</t>
  </si>
  <si>
    <t>82.79</t>
  </si>
  <si>
    <t>岗位
代码</t>
    <phoneticPr fontId="1" type="noConversion"/>
  </si>
  <si>
    <t>专科：医学检验技术</t>
    <phoneticPr fontId="1" type="noConversion"/>
  </si>
  <si>
    <t>县妇幼保健计划生育服务中心</t>
  </si>
  <si>
    <t>79.05</t>
  </si>
  <si>
    <t>专科：医学影像技术</t>
    <phoneticPr fontId="1" type="noConversion"/>
  </si>
  <si>
    <t>74.38</t>
  </si>
  <si>
    <t>70</t>
  </si>
  <si>
    <t>专科：临床医学</t>
    <phoneticPr fontId="1" type="noConversion"/>
  </si>
  <si>
    <t>县妇幼保健计划生育服务中心</t>
    <phoneticPr fontId="1" type="noConversion"/>
  </si>
  <si>
    <t>80.13</t>
  </si>
  <si>
    <t xml:space="preserve">县疾病预防控制中心 </t>
    <phoneticPr fontId="1" type="noConversion"/>
  </si>
  <si>
    <t>89.05</t>
  </si>
  <si>
    <t>88.19</t>
  </si>
  <si>
    <t>74</t>
  </si>
  <si>
    <t>本科：预防医学</t>
    <phoneticPr fontId="1" type="noConversion"/>
  </si>
  <si>
    <t>83.91</t>
  </si>
  <si>
    <t>73.94</t>
  </si>
  <si>
    <t>2021年度全椒县卫健系统公开招聘专业技术人员资格复审人员名单</t>
    <phoneticPr fontId="1" type="noConversion"/>
  </si>
  <si>
    <t>序
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</si>
</sst>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name val="宋体"/>
      <charset val="134"/>
    </font>
    <font>
      <sz val="9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color theme="5"/>
      <name val="宋体"/>
      <family val="3"/>
      <charset val="134"/>
    </font>
    <font>
      <sz val="12"/>
      <color rgb="FF0070C0"/>
      <name val="宋体"/>
      <family val="3"/>
      <charset val="134"/>
    </font>
    <font>
      <sz val="12"/>
      <name val="宋体"/>
      <family val="3"/>
      <charset val="134"/>
    </font>
    <font>
      <sz val="12"/>
      <color rgb="FF00B050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4"/>
  <sheetViews>
    <sheetView tabSelected="1" topLeftCell="A10" zoomScale="85" zoomScaleNormal="85" workbookViewId="0">
      <selection activeCell="D21" sqref="D21"/>
    </sheetView>
  </sheetViews>
  <sheetFormatPr defaultRowHeight="15.6" x14ac:dyDescent="0.25"/>
  <cols>
    <col min="1" max="1" width="4.69921875" customWidth="1"/>
    <col min="2" max="2" width="7.296875" style="2" customWidth="1"/>
    <col min="3" max="3" width="14.296875" style="5" customWidth="1"/>
    <col min="4" max="4" width="25.3984375" style="1" customWidth="1"/>
    <col min="5" max="5" width="22.296875" style="1" customWidth="1"/>
    <col min="6" max="6" width="8.59765625" style="3" customWidth="1"/>
    <col min="7" max="8" width="8" style="4" bestFit="1" customWidth="1"/>
    <col min="9" max="9" width="7.5" style="4" customWidth="1"/>
    <col min="10" max="10" width="8" style="4" bestFit="1" customWidth="1"/>
    <col min="11" max="11" width="7.09765625" style="4" customWidth="1"/>
  </cols>
  <sheetData>
    <row r="1" spans="1:11" ht="28.8" customHeight="1" x14ac:dyDescent="0.25">
      <c r="A1" s="19" t="s">
        <v>280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1.2" x14ac:dyDescent="0.25">
      <c r="A2" s="6" t="s">
        <v>281</v>
      </c>
      <c r="B2" s="7" t="s">
        <v>0</v>
      </c>
      <c r="C2" s="7" t="s">
        <v>1</v>
      </c>
      <c r="D2" s="6" t="s">
        <v>2</v>
      </c>
      <c r="E2" s="6" t="s">
        <v>3</v>
      </c>
      <c r="F2" s="6" t="s">
        <v>263</v>
      </c>
      <c r="G2" s="6" t="s">
        <v>36</v>
      </c>
      <c r="H2" s="6" t="s">
        <v>32</v>
      </c>
      <c r="I2" s="6" t="s">
        <v>33</v>
      </c>
      <c r="J2" s="6" t="s">
        <v>34</v>
      </c>
      <c r="K2" s="7" t="s">
        <v>35</v>
      </c>
    </row>
    <row r="3" spans="1:11" x14ac:dyDescent="0.25">
      <c r="A3" s="15">
        <v>1</v>
      </c>
      <c r="B3" s="15" t="str">
        <f>"王青"</f>
        <v>王青</v>
      </c>
      <c r="C3" s="15" t="str">
        <f>"992202100602"</f>
        <v>992202100602</v>
      </c>
      <c r="D3" s="16" t="s">
        <v>273</v>
      </c>
      <c r="E3" s="17" t="s">
        <v>277</v>
      </c>
      <c r="F3" s="15" t="str">
        <f>"202101"</f>
        <v>202101</v>
      </c>
      <c r="G3" s="18" t="s">
        <v>256</v>
      </c>
      <c r="H3" s="18">
        <v>20.399999999999999</v>
      </c>
      <c r="I3" s="18" t="s">
        <v>185</v>
      </c>
      <c r="J3" s="18">
        <v>50.386000000000003</v>
      </c>
      <c r="K3" s="18">
        <v>70.790000000000006</v>
      </c>
    </row>
    <row r="4" spans="1:11" x14ac:dyDescent="0.25">
      <c r="A4" s="15">
        <v>2</v>
      </c>
      <c r="B4" s="15" t="str">
        <f>"马雨婷"</f>
        <v>马雨婷</v>
      </c>
      <c r="C4" s="15" t="str">
        <f>"992202100607"</f>
        <v>992202100607</v>
      </c>
      <c r="D4" s="16" t="s">
        <v>273</v>
      </c>
      <c r="E4" s="17" t="s">
        <v>277</v>
      </c>
      <c r="F4" s="15" t="str">
        <f>"202102"</f>
        <v>202102</v>
      </c>
      <c r="G4" s="18" t="s">
        <v>279</v>
      </c>
      <c r="H4" s="18">
        <v>22.181999999999999</v>
      </c>
      <c r="I4" s="18" t="s">
        <v>278</v>
      </c>
      <c r="J4" s="18">
        <v>58.737000000000002</v>
      </c>
      <c r="K4" s="18">
        <v>80.92</v>
      </c>
    </row>
    <row r="5" spans="1:11" x14ac:dyDescent="0.25">
      <c r="A5" s="15">
        <v>3</v>
      </c>
      <c r="B5" s="15" t="str">
        <f>"李泽平"</f>
        <v>李泽平</v>
      </c>
      <c r="C5" s="15" t="str">
        <f>"992202100605"</f>
        <v>992202100605</v>
      </c>
      <c r="D5" s="16" t="s">
        <v>273</v>
      </c>
      <c r="E5" s="17" t="s">
        <v>277</v>
      </c>
      <c r="F5" s="15" t="str">
        <f>"202102"</f>
        <v>202102</v>
      </c>
      <c r="G5" s="18" t="s">
        <v>276</v>
      </c>
      <c r="H5" s="18">
        <v>22.2</v>
      </c>
      <c r="I5" s="18" t="s">
        <v>249</v>
      </c>
      <c r="J5" s="18">
        <v>49.847000000000001</v>
      </c>
      <c r="K5" s="18">
        <v>72.05</v>
      </c>
    </row>
    <row r="6" spans="1:11" x14ac:dyDescent="0.25">
      <c r="A6" s="15">
        <v>4</v>
      </c>
      <c r="B6" s="15" t="str">
        <f>"赵立含"</f>
        <v>赵立含</v>
      </c>
      <c r="C6" s="15" t="str">
        <f>"992202101030"</f>
        <v>992202101030</v>
      </c>
      <c r="D6" s="16" t="s">
        <v>273</v>
      </c>
      <c r="E6" s="17" t="s">
        <v>264</v>
      </c>
      <c r="F6" s="15" t="str">
        <f>"202103"</f>
        <v>202103</v>
      </c>
      <c r="G6" s="18" t="s">
        <v>275</v>
      </c>
      <c r="H6" s="18">
        <v>26.457000000000001</v>
      </c>
      <c r="I6" s="18" t="s">
        <v>274</v>
      </c>
      <c r="J6" s="18">
        <v>62.335000000000001</v>
      </c>
      <c r="K6" s="18">
        <v>88.79</v>
      </c>
    </row>
    <row r="7" spans="1:11" x14ac:dyDescent="0.25">
      <c r="A7" s="15">
        <v>5</v>
      </c>
      <c r="B7" s="15" t="str">
        <f>"石洁"</f>
        <v>石洁</v>
      </c>
      <c r="C7" s="15" t="str">
        <f>"992202101106"</f>
        <v>992202101106</v>
      </c>
      <c r="D7" s="16" t="s">
        <v>273</v>
      </c>
      <c r="E7" s="17" t="s">
        <v>264</v>
      </c>
      <c r="F7" s="15" t="str">
        <f>"202104"</f>
        <v>202104</v>
      </c>
      <c r="G7" s="18" t="s">
        <v>272</v>
      </c>
      <c r="H7" s="18">
        <v>24.039000000000001</v>
      </c>
      <c r="I7" s="18" t="s">
        <v>41</v>
      </c>
      <c r="J7" s="18">
        <v>49.329000000000001</v>
      </c>
      <c r="K7" s="18">
        <v>73.37</v>
      </c>
    </row>
    <row r="8" spans="1:11" x14ac:dyDescent="0.25">
      <c r="A8" s="15">
        <v>6</v>
      </c>
      <c r="B8" s="15" t="str">
        <f>"王玲"</f>
        <v>王玲</v>
      </c>
      <c r="C8" s="15" t="str">
        <f>"992202101618"</f>
        <v>992202101618</v>
      </c>
      <c r="D8" s="16" t="s">
        <v>271</v>
      </c>
      <c r="E8" s="17" t="s">
        <v>270</v>
      </c>
      <c r="F8" s="15" t="str">
        <f>"202105"</f>
        <v>202105</v>
      </c>
      <c r="G8" s="18" t="s">
        <v>269</v>
      </c>
      <c r="H8" s="18">
        <v>21</v>
      </c>
      <c r="I8" s="18" t="s">
        <v>268</v>
      </c>
      <c r="J8" s="18">
        <v>52.066000000000003</v>
      </c>
      <c r="K8" s="18">
        <v>73.069999999999993</v>
      </c>
    </row>
    <row r="9" spans="1:11" x14ac:dyDescent="0.25">
      <c r="A9" s="15">
        <v>7</v>
      </c>
      <c r="B9" s="15" t="str">
        <f>"宋睿"</f>
        <v>宋睿</v>
      </c>
      <c r="C9" s="15" t="str">
        <f>"992202100701"</f>
        <v>992202100701</v>
      </c>
      <c r="D9" s="16" t="s">
        <v>265</v>
      </c>
      <c r="E9" s="17" t="s">
        <v>267</v>
      </c>
      <c r="F9" s="15" t="str">
        <f>"202106"</f>
        <v>202106</v>
      </c>
      <c r="G9" s="18" t="s">
        <v>266</v>
      </c>
      <c r="H9" s="18">
        <v>23.715</v>
      </c>
      <c r="I9" s="18" t="s">
        <v>176</v>
      </c>
      <c r="J9" s="18">
        <v>47.732999999999997</v>
      </c>
      <c r="K9" s="18">
        <v>71.45</v>
      </c>
    </row>
    <row r="10" spans="1:11" x14ac:dyDescent="0.25">
      <c r="A10" s="15">
        <v>8</v>
      </c>
      <c r="B10" s="15" t="str">
        <f>"王旭"</f>
        <v>王旭</v>
      </c>
      <c r="C10" s="15" t="str">
        <f>"992202101119"</f>
        <v>992202101119</v>
      </c>
      <c r="D10" s="16" t="s">
        <v>265</v>
      </c>
      <c r="E10" s="17" t="s">
        <v>264</v>
      </c>
      <c r="F10" s="15" t="str">
        <f>"202107"</f>
        <v>202107</v>
      </c>
      <c r="G10" s="18" t="s">
        <v>245</v>
      </c>
      <c r="H10" s="18">
        <v>23.504999999999999</v>
      </c>
      <c r="I10" s="18" t="s">
        <v>257</v>
      </c>
      <c r="J10" s="18">
        <v>60.283999999999999</v>
      </c>
      <c r="K10" s="18">
        <v>83.79</v>
      </c>
    </row>
    <row r="11" spans="1:11" s="9" customFormat="1" x14ac:dyDescent="0.25">
      <c r="A11" s="15">
        <v>9</v>
      </c>
      <c r="B11" s="10" t="str">
        <f>"戴荣"</f>
        <v>戴荣</v>
      </c>
      <c r="C11" s="10" t="str">
        <f>"992202100118"</f>
        <v>992202100118</v>
      </c>
      <c r="D11" s="11" t="s">
        <v>4</v>
      </c>
      <c r="E11" s="12" t="s">
        <v>5</v>
      </c>
      <c r="F11" s="10" t="str">
        <f t="shared" ref="F11:F22" si="0">"2021001"</f>
        <v>2021001</v>
      </c>
      <c r="G11" s="8" t="s">
        <v>55</v>
      </c>
      <c r="H11" s="8">
        <v>21.462</v>
      </c>
      <c r="I11" s="8" t="s">
        <v>56</v>
      </c>
      <c r="J11" s="8">
        <v>60.865000000000002</v>
      </c>
      <c r="K11" s="8">
        <v>82.33</v>
      </c>
    </row>
    <row r="12" spans="1:11" s="9" customFormat="1" x14ac:dyDescent="0.25">
      <c r="A12" s="15">
        <v>10</v>
      </c>
      <c r="B12" s="10" t="str">
        <f>"王芮"</f>
        <v>王芮</v>
      </c>
      <c r="C12" s="10" t="str">
        <f>"992202100108"</f>
        <v>992202100108</v>
      </c>
      <c r="D12" s="11" t="s">
        <v>4</v>
      </c>
      <c r="E12" s="12" t="s">
        <v>5</v>
      </c>
      <c r="F12" s="10" t="str">
        <f t="shared" si="0"/>
        <v>2021001</v>
      </c>
      <c r="G12" s="8" t="s">
        <v>42</v>
      </c>
      <c r="H12" s="8">
        <v>20.690999999999999</v>
      </c>
      <c r="I12" s="8" t="s">
        <v>43</v>
      </c>
      <c r="J12" s="8">
        <v>61.515999999999998</v>
      </c>
      <c r="K12" s="8">
        <v>82.21</v>
      </c>
    </row>
    <row r="13" spans="1:11" s="9" customFormat="1" x14ac:dyDescent="0.25">
      <c r="A13" s="15">
        <v>11</v>
      </c>
      <c r="B13" s="10" t="str">
        <f>"朱小琴"</f>
        <v>朱小琴</v>
      </c>
      <c r="C13" s="10" t="str">
        <f>"992202100111"</f>
        <v>992202100111</v>
      </c>
      <c r="D13" s="11" t="s">
        <v>4</v>
      </c>
      <c r="E13" s="12" t="s">
        <v>5</v>
      </c>
      <c r="F13" s="10" t="str">
        <f t="shared" si="0"/>
        <v>2021001</v>
      </c>
      <c r="G13" s="8" t="s">
        <v>48</v>
      </c>
      <c r="H13" s="8">
        <v>22.283999999999999</v>
      </c>
      <c r="I13" s="8" t="s">
        <v>49</v>
      </c>
      <c r="J13" s="8">
        <v>59.871000000000002</v>
      </c>
      <c r="K13" s="8">
        <v>82.16</v>
      </c>
    </row>
    <row r="14" spans="1:11" s="9" customFormat="1" x14ac:dyDescent="0.25">
      <c r="A14" s="15">
        <v>12</v>
      </c>
      <c r="B14" s="10" t="str">
        <f>"梁俊"</f>
        <v>梁俊</v>
      </c>
      <c r="C14" s="10" t="str">
        <f>"992202100117"</f>
        <v>992202100117</v>
      </c>
      <c r="D14" s="11" t="s">
        <v>4</v>
      </c>
      <c r="E14" s="12" t="s">
        <v>5</v>
      </c>
      <c r="F14" s="10" t="str">
        <f t="shared" si="0"/>
        <v>2021001</v>
      </c>
      <c r="G14" s="8" t="s">
        <v>53</v>
      </c>
      <c r="H14" s="8">
        <v>24.518999999999998</v>
      </c>
      <c r="I14" s="8" t="s">
        <v>54</v>
      </c>
      <c r="J14" s="8">
        <v>56.329000000000001</v>
      </c>
      <c r="K14" s="8">
        <v>80.849999999999994</v>
      </c>
    </row>
    <row r="15" spans="1:11" s="9" customFormat="1" x14ac:dyDescent="0.25">
      <c r="A15" s="15">
        <v>13</v>
      </c>
      <c r="B15" s="10" t="str">
        <f>"王庆祝"</f>
        <v>王庆祝</v>
      </c>
      <c r="C15" s="10" t="str">
        <f>"992202100115"</f>
        <v>992202100115</v>
      </c>
      <c r="D15" s="11" t="s">
        <v>4</v>
      </c>
      <c r="E15" s="12" t="s">
        <v>5</v>
      </c>
      <c r="F15" s="10" t="str">
        <f t="shared" si="0"/>
        <v>2021001</v>
      </c>
      <c r="G15" s="8" t="s">
        <v>50</v>
      </c>
      <c r="H15" s="8">
        <v>23.655000000000001</v>
      </c>
      <c r="I15" s="8" t="s">
        <v>52</v>
      </c>
      <c r="J15" s="8">
        <v>56.412999999999997</v>
      </c>
      <c r="K15" s="8">
        <v>80.069999999999993</v>
      </c>
    </row>
    <row r="16" spans="1:11" s="9" customFormat="1" x14ac:dyDescent="0.25">
      <c r="A16" s="15">
        <v>14</v>
      </c>
      <c r="B16" s="10" t="str">
        <f>"蔡学雯"</f>
        <v>蔡学雯</v>
      </c>
      <c r="C16" s="10" t="str">
        <f>"992202100105"</f>
        <v>992202100105</v>
      </c>
      <c r="D16" s="11" t="s">
        <v>4</v>
      </c>
      <c r="E16" s="12" t="s">
        <v>5</v>
      </c>
      <c r="F16" s="10" t="str">
        <f t="shared" si="0"/>
        <v>2021001</v>
      </c>
      <c r="G16" s="8" t="s">
        <v>39</v>
      </c>
      <c r="H16" s="8">
        <v>23.43</v>
      </c>
      <c r="I16" s="8" t="s">
        <v>40</v>
      </c>
      <c r="J16" s="8">
        <v>56.301000000000002</v>
      </c>
      <c r="K16" s="8">
        <v>79.73</v>
      </c>
    </row>
    <row r="17" spans="1:11" s="9" customFormat="1" x14ac:dyDescent="0.25">
      <c r="A17" s="15">
        <v>15</v>
      </c>
      <c r="B17" s="10" t="str">
        <f>"孙仕敏"</f>
        <v>孙仕敏</v>
      </c>
      <c r="C17" s="10" t="str">
        <f>"992202100114"</f>
        <v>992202100114</v>
      </c>
      <c r="D17" s="11" t="s">
        <v>4</v>
      </c>
      <c r="E17" s="12" t="s">
        <v>5</v>
      </c>
      <c r="F17" s="10" t="str">
        <f t="shared" si="0"/>
        <v>2021001</v>
      </c>
      <c r="G17" s="8" t="s">
        <v>50</v>
      </c>
      <c r="H17" s="8">
        <v>23.655000000000001</v>
      </c>
      <c r="I17" s="8" t="s">
        <v>51</v>
      </c>
      <c r="J17" s="8">
        <v>55.58</v>
      </c>
      <c r="K17" s="8">
        <v>79.239999999999995</v>
      </c>
    </row>
    <row r="18" spans="1:11" s="9" customFormat="1" x14ac:dyDescent="0.25">
      <c r="A18" s="15">
        <v>16</v>
      </c>
      <c r="B18" s="10" t="str">
        <f>"吴兆武"</f>
        <v>吴兆武</v>
      </c>
      <c r="C18" s="10" t="str">
        <f>"992202100110"</f>
        <v>992202100110</v>
      </c>
      <c r="D18" s="11" t="s">
        <v>4</v>
      </c>
      <c r="E18" s="12" t="s">
        <v>5</v>
      </c>
      <c r="F18" s="10" t="str">
        <f t="shared" si="0"/>
        <v>2021001</v>
      </c>
      <c r="G18" s="8" t="s">
        <v>46</v>
      </c>
      <c r="H18" s="8">
        <v>18.143999999999998</v>
      </c>
      <c r="I18" s="8" t="s">
        <v>47</v>
      </c>
      <c r="J18" s="8">
        <v>60.164999999999999</v>
      </c>
      <c r="K18" s="8">
        <v>78.31</v>
      </c>
    </row>
    <row r="19" spans="1:11" s="9" customFormat="1" x14ac:dyDescent="0.25">
      <c r="A19" s="15">
        <v>17</v>
      </c>
      <c r="B19" s="10" t="str">
        <f>"谢晋"</f>
        <v>谢晋</v>
      </c>
      <c r="C19" s="10" t="str">
        <f>"992202100122"</f>
        <v>992202100122</v>
      </c>
      <c r="D19" s="11" t="s">
        <v>4</v>
      </c>
      <c r="E19" s="12" t="s">
        <v>5</v>
      </c>
      <c r="F19" s="10" t="str">
        <f t="shared" si="0"/>
        <v>2021001</v>
      </c>
      <c r="G19" s="8" t="s">
        <v>59</v>
      </c>
      <c r="H19" s="8">
        <v>22.265999999999998</v>
      </c>
      <c r="I19" s="8" t="s">
        <v>60</v>
      </c>
      <c r="J19" s="8">
        <v>55.139000000000003</v>
      </c>
      <c r="K19" s="8">
        <v>77.41</v>
      </c>
    </row>
    <row r="20" spans="1:11" s="9" customFormat="1" x14ac:dyDescent="0.25">
      <c r="A20" s="15">
        <v>18</v>
      </c>
      <c r="B20" s="10" t="str">
        <f>"廖晗"</f>
        <v>廖晗</v>
      </c>
      <c r="C20" s="10" t="str">
        <f>"992202100109"</f>
        <v>992202100109</v>
      </c>
      <c r="D20" s="11" t="s">
        <v>4</v>
      </c>
      <c r="E20" s="12" t="s">
        <v>5</v>
      </c>
      <c r="F20" s="10" t="str">
        <f t="shared" si="0"/>
        <v>2021001</v>
      </c>
      <c r="G20" s="8" t="s">
        <v>44</v>
      </c>
      <c r="H20" s="8">
        <v>22.367999999999999</v>
      </c>
      <c r="I20" s="8" t="s">
        <v>45</v>
      </c>
      <c r="J20" s="8">
        <v>54.662999999999997</v>
      </c>
      <c r="K20" s="8">
        <v>77.03</v>
      </c>
    </row>
    <row r="21" spans="1:11" s="9" customFormat="1" x14ac:dyDescent="0.25">
      <c r="A21" s="15">
        <v>19</v>
      </c>
      <c r="B21" s="10" t="str">
        <f>"周朝钢"</f>
        <v>周朝钢</v>
      </c>
      <c r="C21" s="10" t="str">
        <f>"992202100119"</f>
        <v>992202100119</v>
      </c>
      <c r="D21" s="11" t="s">
        <v>4</v>
      </c>
      <c r="E21" s="12" t="s">
        <v>5</v>
      </c>
      <c r="F21" s="10" t="str">
        <f t="shared" si="0"/>
        <v>2021001</v>
      </c>
      <c r="G21" s="8" t="s">
        <v>57</v>
      </c>
      <c r="H21" s="8">
        <v>21.696000000000002</v>
      </c>
      <c r="I21" s="8" t="s">
        <v>58</v>
      </c>
      <c r="J21" s="8">
        <v>54.95</v>
      </c>
      <c r="K21" s="8">
        <v>76.650000000000006</v>
      </c>
    </row>
    <row r="22" spans="1:11" s="9" customFormat="1" x14ac:dyDescent="0.25">
      <c r="A22" s="15">
        <v>20</v>
      </c>
      <c r="B22" s="10" t="str">
        <f>"汪浩"</f>
        <v>汪浩</v>
      </c>
      <c r="C22" s="10" t="str">
        <f>"992202100102"</f>
        <v>992202100102</v>
      </c>
      <c r="D22" s="11" t="s">
        <v>4</v>
      </c>
      <c r="E22" s="12" t="s">
        <v>5</v>
      </c>
      <c r="F22" s="10" t="str">
        <f t="shared" si="0"/>
        <v>2021001</v>
      </c>
      <c r="G22" s="8" t="s">
        <v>37</v>
      </c>
      <c r="H22" s="8">
        <v>23.774999999999999</v>
      </c>
      <c r="I22" s="8" t="s">
        <v>38</v>
      </c>
      <c r="J22" s="8">
        <v>51.848999999999997</v>
      </c>
      <c r="K22" s="8">
        <v>75.62</v>
      </c>
    </row>
    <row r="23" spans="1:11" s="3" customFormat="1" x14ac:dyDescent="0.25">
      <c r="A23" s="15">
        <v>21</v>
      </c>
      <c r="B23" s="10" t="str">
        <f>"陈敏"</f>
        <v>陈敏</v>
      </c>
      <c r="C23" s="10" t="str">
        <f>"992202100302"</f>
        <v>992202100302</v>
      </c>
      <c r="D23" s="11" t="s">
        <v>4</v>
      </c>
      <c r="E23" s="13" t="s">
        <v>11</v>
      </c>
      <c r="F23" s="10" t="str">
        <f>"2021002"</f>
        <v>2021002</v>
      </c>
      <c r="G23" s="8" t="s">
        <v>87</v>
      </c>
      <c r="H23" s="8">
        <v>24.675000000000001</v>
      </c>
      <c r="I23" s="8" t="s">
        <v>88</v>
      </c>
      <c r="J23" s="8">
        <v>58.289000000000001</v>
      </c>
      <c r="K23" s="8">
        <v>82.96</v>
      </c>
    </row>
    <row r="24" spans="1:11" s="3" customFormat="1" x14ac:dyDescent="0.25">
      <c r="A24" s="15">
        <v>22</v>
      </c>
      <c r="B24" s="10" t="str">
        <f>"杨晨"</f>
        <v>杨晨</v>
      </c>
      <c r="C24" s="10" t="str">
        <f>"992202100206"</f>
        <v>992202100206</v>
      </c>
      <c r="D24" s="11" t="s">
        <v>4</v>
      </c>
      <c r="E24" s="13" t="s">
        <v>8</v>
      </c>
      <c r="F24" s="10" t="str">
        <f>"2021004"</f>
        <v>2021004</v>
      </c>
      <c r="G24" s="8" t="s">
        <v>72</v>
      </c>
      <c r="H24" s="8">
        <v>22.995000000000001</v>
      </c>
      <c r="I24" s="8" t="s">
        <v>73</v>
      </c>
      <c r="J24" s="8">
        <v>55.377000000000002</v>
      </c>
      <c r="K24" s="8">
        <v>78.37</v>
      </c>
    </row>
    <row r="25" spans="1:11" s="3" customFormat="1" x14ac:dyDescent="0.25">
      <c r="A25" s="15">
        <v>23</v>
      </c>
      <c r="B25" s="10" t="str">
        <f>"金莉"</f>
        <v>金莉</v>
      </c>
      <c r="C25" s="10" t="str">
        <f>"992202100308"</f>
        <v>992202100308</v>
      </c>
      <c r="D25" s="11" t="s">
        <v>4</v>
      </c>
      <c r="E25" s="13" t="s">
        <v>12</v>
      </c>
      <c r="F25" s="10" t="str">
        <f t="shared" ref="F25" si="1">"2021005"</f>
        <v>2021005</v>
      </c>
      <c r="G25" s="8" t="s">
        <v>89</v>
      </c>
      <c r="H25" s="8">
        <v>21.306000000000001</v>
      </c>
      <c r="I25" s="8" t="s">
        <v>90</v>
      </c>
      <c r="J25" s="8">
        <v>63.777000000000001</v>
      </c>
      <c r="K25" s="8">
        <v>85.08</v>
      </c>
    </row>
    <row r="26" spans="1:11" s="3" customFormat="1" x14ac:dyDescent="0.25">
      <c r="A26" s="15">
        <v>24</v>
      </c>
      <c r="B26" s="10" t="str">
        <f>"耿衍卓"</f>
        <v>耿衍卓</v>
      </c>
      <c r="C26" s="10" t="str">
        <f>"992202100526"</f>
        <v>992202100526</v>
      </c>
      <c r="D26" s="11" t="s">
        <v>4</v>
      </c>
      <c r="E26" s="13" t="s">
        <v>18</v>
      </c>
      <c r="F26" s="10" t="str">
        <f>"2021006"</f>
        <v>2021006</v>
      </c>
      <c r="G26" s="8" t="s">
        <v>135</v>
      </c>
      <c r="H26" s="8">
        <v>23.981999999999999</v>
      </c>
      <c r="I26" s="8" t="s">
        <v>136</v>
      </c>
      <c r="J26" s="8">
        <v>53.920999999999999</v>
      </c>
      <c r="K26" s="8">
        <v>77.900000000000006</v>
      </c>
    </row>
    <row r="27" spans="1:11" s="3" customFormat="1" x14ac:dyDescent="0.25">
      <c r="A27" s="15">
        <v>25</v>
      </c>
      <c r="B27" s="10" t="str">
        <f>"刘迪"</f>
        <v>刘迪</v>
      </c>
      <c r="C27" s="10" t="str">
        <f>"992202100523"</f>
        <v>992202100523</v>
      </c>
      <c r="D27" s="11" t="s">
        <v>4</v>
      </c>
      <c r="E27" s="13" t="s">
        <v>18</v>
      </c>
      <c r="F27" s="10" t="str">
        <f>"2021006"</f>
        <v>2021006</v>
      </c>
      <c r="G27" s="8" t="s">
        <v>133</v>
      </c>
      <c r="H27" s="8">
        <v>20.991</v>
      </c>
      <c r="I27" s="8" t="s">
        <v>134</v>
      </c>
      <c r="J27" s="8">
        <v>47.872999999999998</v>
      </c>
      <c r="K27" s="8">
        <v>68.86</v>
      </c>
    </row>
    <row r="28" spans="1:11" s="3" customFormat="1" x14ac:dyDescent="0.25">
      <c r="A28" s="15">
        <v>26</v>
      </c>
      <c r="B28" s="10" t="str">
        <f>"杨玫"</f>
        <v>杨玫</v>
      </c>
      <c r="C28" s="10" t="str">
        <f>"992202100211"</f>
        <v>992202100211</v>
      </c>
      <c r="D28" s="11" t="s">
        <v>4</v>
      </c>
      <c r="E28" s="12" t="s">
        <v>9</v>
      </c>
      <c r="F28" s="10" t="str">
        <f>"2021007"</f>
        <v>2021007</v>
      </c>
      <c r="G28" s="8" t="s">
        <v>75</v>
      </c>
      <c r="H28" s="8">
        <v>23.073</v>
      </c>
      <c r="I28" s="8" t="s">
        <v>76</v>
      </c>
      <c r="J28" s="8">
        <v>55.908999999999999</v>
      </c>
      <c r="K28" s="8">
        <v>78.98</v>
      </c>
    </row>
    <row r="29" spans="1:11" s="3" customFormat="1" x14ac:dyDescent="0.25">
      <c r="A29" s="15">
        <v>27</v>
      </c>
      <c r="B29" s="10" t="str">
        <f>"张波"</f>
        <v>张波</v>
      </c>
      <c r="C29" s="10" t="str">
        <f>"992202100209"</f>
        <v>992202100209</v>
      </c>
      <c r="D29" s="11" t="s">
        <v>4</v>
      </c>
      <c r="E29" s="12" t="s">
        <v>9</v>
      </c>
      <c r="F29" s="10" t="str">
        <f>"2021007"</f>
        <v>2021007</v>
      </c>
      <c r="G29" s="8" t="s">
        <v>61</v>
      </c>
      <c r="H29" s="8">
        <v>22.725000000000001</v>
      </c>
      <c r="I29" s="8" t="s">
        <v>74</v>
      </c>
      <c r="J29" s="8">
        <v>55.097000000000001</v>
      </c>
      <c r="K29" s="8">
        <v>77.819999999999993</v>
      </c>
    </row>
    <row r="30" spans="1:11" s="3" customFormat="1" x14ac:dyDescent="0.25">
      <c r="A30" s="15">
        <v>28</v>
      </c>
      <c r="B30" s="10" t="str">
        <f>"陈孟春"</f>
        <v>陈孟春</v>
      </c>
      <c r="C30" s="10" t="str">
        <f>"992202100409"</f>
        <v>992202100409</v>
      </c>
      <c r="D30" s="11" t="s">
        <v>4</v>
      </c>
      <c r="E30" s="14" t="s">
        <v>14</v>
      </c>
      <c r="F30" s="10" t="str">
        <f t="shared" ref="F30:F33" si="2">"2021008"</f>
        <v>2021008</v>
      </c>
      <c r="G30" s="8" t="s">
        <v>115</v>
      </c>
      <c r="H30" s="8">
        <v>21.812999999999999</v>
      </c>
      <c r="I30" s="8" t="s">
        <v>116</v>
      </c>
      <c r="J30" s="8">
        <v>57.484000000000002</v>
      </c>
      <c r="K30" s="8">
        <v>79.3</v>
      </c>
    </row>
    <row r="31" spans="1:11" s="3" customFormat="1" x14ac:dyDescent="0.25">
      <c r="A31" s="15">
        <v>29</v>
      </c>
      <c r="B31" s="10" t="str">
        <f>"王弘"</f>
        <v>王弘</v>
      </c>
      <c r="C31" s="10" t="str">
        <f>"992202100419"</f>
        <v>992202100419</v>
      </c>
      <c r="D31" s="11" t="s">
        <v>4</v>
      </c>
      <c r="E31" s="14" t="s">
        <v>14</v>
      </c>
      <c r="F31" s="10" t="str">
        <f t="shared" si="2"/>
        <v>2021008</v>
      </c>
      <c r="G31" s="8" t="s">
        <v>118</v>
      </c>
      <c r="H31" s="8">
        <v>19.088999999999999</v>
      </c>
      <c r="I31" s="8" t="s">
        <v>119</v>
      </c>
      <c r="J31" s="8">
        <v>59.395000000000003</v>
      </c>
      <c r="K31" s="8">
        <v>78.48</v>
      </c>
    </row>
    <row r="32" spans="1:11" s="3" customFormat="1" x14ac:dyDescent="0.25">
      <c r="A32" s="15">
        <v>30</v>
      </c>
      <c r="B32" s="10" t="str">
        <f>"杨晶晶"</f>
        <v>杨晶晶</v>
      </c>
      <c r="C32" s="10" t="str">
        <f>"992202100404"</f>
        <v>992202100404</v>
      </c>
      <c r="D32" s="11" t="s">
        <v>4</v>
      </c>
      <c r="E32" s="14" t="s">
        <v>14</v>
      </c>
      <c r="F32" s="10" t="str">
        <f t="shared" si="2"/>
        <v>2021008</v>
      </c>
      <c r="G32" s="8" t="s">
        <v>112</v>
      </c>
      <c r="H32" s="8">
        <v>23.346</v>
      </c>
      <c r="I32" s="8" t="s">
        <v>113</v>
      </c>
      <c r="J32" s="8">
        <v>54.593000000000004</v>
      </c>
      <c r="K32" s="8">
        <v>77.94</v>
      </c>
    </row>
    <row r="33" spans="1:11" s="3" customFormat="1" x14ac:dyDescent="0.25">
      <c r="A33" s="15">
        <v>31</v>
      </c>
      <c r="B33" s="10" t="str">
        <f>"陆琳琳"</f>
        <v>陆琳琳</v>
      </c>
      <c r="C33" s="10" t="str">
        <f>"992202100402"</f>
        <v>992202100402</v>
      </c>
      <c r="D33" s="11" t="s">
        <v>4</v>
      </c>
      <c r="E33" s="14" t="s">
        <v>14</v>
      </c>
      <c r="F33" s="10" t="str">
        <f t="shared" si="2"/>
        <v>2021008</v>
      </c>
      <c r="G33" s="8" t="s">
        <v>110</v>
      </c>
      <c r="H33" s="8">
        <v>19.989000000000001</v>
      </c>
      <c r="I33" s="8" t="s">
        <v>111</v>
      </c>
      <c r="J33" s="8">
        <v>57.463000000000001</v>
      </c>
      <c r="K33" s="8">
        <v>77.45</v>
      </c>
    </row>
    <row r="34" spans="1:11" s="3" customFormat="1" x14ac:dyDescent="0.25">
      <c r="A34" s="15">
        <v>32</v>
      </c>
      <c r="B34" s="10" t="str">
        <f>"张鹏宇"</f>
        <v>张鹏宇</v>
      </c>
      <c r="C34" s="10" t="str">
        <f>"992202100503"</f>
        <v>992202100503</v>
      </c>
      <c r="D34" s="11" t="s">
        <v>4</v>
      </c>
      <c r="E34" s="13" t="s">
        <v>16</v>
      </c>
      <c r="F34" s="10" t="str">
        <f>"2021009"</f>
        <v>2021009</v>
      </c>
      <c r="G34" s="8" t="s">
        <v>123</v>
      </c>
      <c r="H34" s="8">
        <v>22.869</v>
      </c>
      <c r="I34" s="8" t="s">
        <v>124</v>
      </c>
      <c r="J34" s="8">
        <v>53.402999999999999</v>
      </c>
      <c r="K34" s="8">
        <v>76.27</v>
      </c>
    </row>
    <row r="35" spans="1:11" s="3" customFormat="1" x14ac:dyDescent="0.25">
      <c r="A35" s="15">
        <v>33</v>
      </c>
      <c r="B35" s="10" t="str">
        <f>"李安椒"</f>
        <v>李安椒</v>
      </c>
      <c r="C35" s="10" t="str">
        <f>"992202100513"</f>
        <v>992202100513</v>
      </c>
      <c r="D35" s="11" t="s">
        <v>4</v>
      </c>
      <c r="E35" s="13" t="s">
        <v>17</v>
      </c>
      <c r="F35" s="10" t="str">
        <f>"2021010"</f>
        <v>2021010</v>
      </c>
      <c r="G35" s="8" t="s">
        <v>128</v>
      </c>
      <c r="H35" s="8">
        <v>25.077000000000002</v>
      </c>
      <c r="I35" s="8" t="s">
        <v>129</v>
      </c>
      <c r="J35" s="8">
        <v>40.11</v>
      </c>
      <c r="K35" s="8">
        <v>65.19</v>
      </c>
    </row>
    <row r="36" spans="1:11" s="3" customFormat="1" x14ac:dyDescent="0.25">
      <c r="A36" s="15">
        <v>34</v>
      </c>
      <c r="B36" s="10" t="str">
        <f>"柴磊"</f>
        <v>柴磊</v>
      </c>
      <c r="C36" s="10" t="str">
        <f>"992202100315"</f>
        <v>992202100315</v>
      </c>
      <c r="D36" s="11" t="s">
        <v>4</v>
      </c>
      <c r="E36" s="12" t="s">
        <v>13</v>
      </c>
      <c r="F36" s="10" t="str">
        <f t="shared" ref="F36:F45" si="3">"2021011"</f>
        <v>2021011</v>
      </c>
      <c r="G36" s="8" t="s">
        <v>99</v>
      </c>
      <c r="H36" s="8">
        <v>21.366</v>
      </c>
      <c r="I36" s="8" t="s">
        <v>100</v>
      </c>
      <c r="J36" s="8">
        <v>60.83</v>
      </c>
      <c r="K36" s="8">
        <v>82.2</v>
      </c>
    </row>
    <row r="37" spans="1:11" s="3" customFormat="1" x14ac:dyDescent="0.25">
      <c r="A37" s="15">
        <v>35</v>
      </c>
      <c r="B37" s="10" t="str">
        <f>"吴越"</f>
        <v>吴越</v>
      </c>
      <c r="C37" s="10" t="str">
        <f>"992202100328"</f>
        <v>992202100328</v>
      </c>
      <c r="D37" s="11" t="s">
        <v>4</v>
      </c>
      <c r="E37" s="12" t="s">
        <v>13</v>
      </c>
      <c r="F37" s="10" t="str">
        <f t="shared" si="3"/>
        <v>2021011</v>
      </c>
      <c r="G37" s="8" t="s">
        <v>105</v>
      </c>
      <c r="H37" s="8">
        <v>22.388999999999999</v>
      </c>
      <c r="I37" s="8" t="s">
        <v>106</v>
      </c>
      <c r="J37" s="8">
        <v>58.709000000000003</v>
      </c>
      <c r="K37" s="8">
        <v>81.099999999999994</v>
      </c>
    </row>
    <row r="38" spans="1:11" s="3" customFormat="1" x14ac:dyDescent="0.25">
      <c r="A38" s="15">
        <v>36</v>
      </c>
      <c r="B38" s="10" t="str">
        <f>"陈维丽"</f>
        <v>陈维丽</v>
      </c>
      <c r="C38" s="10" t="str">
        <f>"992202100329"</f>
        <v>992202100329</v>
      </c>
      <c r="D38" s="11" t="s">
        <v>4</v>
      </c>
      <c r="E38" s="12" t="s">
        <v>13</v>
      </c>
      <c r="F38" s="10" t="str">
        <f t="shared" si="3"/>
        <v>2021011</v>
      </c>
      <c r="G38" s="8" t="s">
        <v>107</v>
      </c>
      <c r="H38" s="8">
        <v>23.256</v>
      </c>
      <c r="I38" s="8" t="s">
        <v>108</v>
      </c>
      <c r="J38" s="8">
        <v>57.302</v>
      </c>
      <c r="K38" s="8">
        <v>80.56</v>
      </c>
    </row>
    <row r="39" spans="1:11" s="3" customFormat="1" x14ac:dyDescent="0.25">
      <c r="A39" s="15">
        <v>37</v>
      </c>
      <c r="B39" s="10" t="str">
        <f>"赵璐璐"</f>
        <v>赵璐璐</v>
      </c>
      <c r="C39" s="10" t="str">
        <f>"992202100327"</f>
        <v>992202100327</v>
      </c>
      <c r="D39" s="11" t="s">
        <v>4</v>
      </c>
      <c r="E39" s="12" t="s">
        <v>13</v>
      </c>
      <c r="F39" s="10" t="str">
        <f t="shared" si="3"/>
        <v>2021011</v>
      </c>
      <c r="G39" s="8" t="s">
        <v>103</v>
      </c>
      <c r="H39" s="8">
        <v>23.117999999999999</v>
      </c>
      <c r="I39" s="8" t="s">
        <v>104</v>
      </c>
      <c r="J39" s="8">
        <v>56.658000000000001</v>
      </c>
      <c r="K39" s="8">
        <v>79.78</v>
      </c>
    </row>
    <row r="40" spans="1:11" s="3" customFormat="1" x14ac:dyDescent="0.25">
      <c r="A40" s="15">
        <v>38</v>
      </c>
      <c r="B40" s="10" t="str">
        <f>"王小玮"</f>
        <v>王小玮</v>
      </c>
      <c r="C40" s="10" t="str">
        <f>"992202100330"</f>
        <v>992202100330</v>
      </c>
      <c r="D40" s="11" t="s">
        <v>4</v>
      </c>
      <c r="E40" s="12" t="s">
        <v>13</v>
      </c>
      <c r="F40" s="10" t="str">
        <f t="shared" si="3"/>
        <v>2021011</v>
      </c>
      <c r="G40" s="8" t="s">
        <v>37</v>
      </c>
      <c r="H40" s="8">
        <v>23.774999999999999</v>
      </c>
      <c r="I40" s="8" t="s">
        <v>109</v>
      </c>
      <c r="J40" s="8">
        <v>55.923000000000002</v>
      </c>
      <c r="K40" s="8">
        <v>79.7</v>
      </c>
    </row>
    <row r="41" spans="1:11" s="3" customFormat="1" x14ac:dyDescent="0.25">
      <c r="A41" s="15">
        <v>39</v>
      </c>
      <c r="B41" s="10" t="str">
        <f>"张定敏"</f>
        <v>张定敏</v>
      </c>
      <c r="C41" s="10" t="str">
        <f>"992202100312"</f>
        <v>992202100312</v>
      </c>
      <c r="D41" s="11" t="s">
        <v>4</v>
      </c>
      <c r="E41" s="12" t="s">
        <v>13</v>
      </c>
      <c r="F41" s="10" t="str">
        <f t="shared" si="3"/>
        <v>2021011</v>
      </c>
      <c r="G41" s="8" t="s">
        <v>93</v>
      </c>
      <c r="H41" s="8">
        <v>23.625</v>
      </c>
      <c r="I41" s="8" t="s">
        <v>94</v>
      </c>
      <c r="J41" s="8">
        <v>55.881</v>
      </c>
      <c r="K41" s="8">
        <v>79.510000000000005</v>
      </c>
    </row>
    <row r="42" spans="1:11" s="3" customFormat="1" x14ac:dyDescent="0.25">
      <c r="A42" s="15">
        <v>40</v>
      </c>
      <c r="B42" s="10" t="str">
        <f>"卫婷"</f>
        <v>卫婷</v>
      </c>
      <c r="C42" s="10" t="str">
        <f>"992202100314"</f>
        <v>992202100314</v>
      </c>
      <c r="D42" s="11" t="s">
        <v>4</v>
      </c>
      <c r="E42" s="12" t="s">
        <v>13</v>
      </c>
      <c r="F42" s="10" t="str">
        <f t="shared" si="3"/>
        <v>2021011</v>
      </c>
      <c r="G42" s="8" t="s">
        <v>97</v>
      </c>
      <c r="H42" s="8">
        <v>21.573</v>
      </c>
      <c r="I42" s="8" t="s">
        <v>98</v>
      </c>
      <c r="J42" s="8">
        <v>57.883000000000003</v>
      </c>
      <c r="K42" s="8">
        <v>79.459999999999994</v>
      </c>
    </row>
    <row r="43" spans="1:11" s="3" customFormat="1" x14ac:dyDescent="0.25">
      <c r="A43" s="15">
        <v>41</v>
      </c>
      <c r="B43" s="10" t="str">
        <f>"潘倩"</f>
        <v>潘倩</v>
      </c>
      <c r="C43" s="10" t="str">
        <f>"992202100311"</f>
        <v>992202100311</v>
      </c>
      <c r="D43" s="11" t="s">
        <v>4</v>
      </c>
      <c r="E43" s="12" t="s">
        <v>13</v>
      </c>
      <c r="F43" s="10" t="str">
        <f t="shared" si="3"/>
        <v>2021011</v>
      </c>
      <c r="G43" s="8" t="s">
        <v>91</v>
      </c>
      <c r="H43" s="8">
        <v>22.122</v>
      </c>
      <c r="I43" s="8" t="s">
        <v>92</v>
      </c>
      <c r="J43" s="8">
        <v>57.148000000000003</v>
      </c>
      <c r="K43" s="8">
        <v>79.27</v>
      </c>
    </row>
    <row r="44" spans="1:11" s="3" customFormat="1" x14ac:dyDescent="0.25">
      <c r="A44" s="15">
        <v>42</v>
      </c>
      <c r="B44" s="10" t="str">
        <f>"李海丽"</f>
        <v>李海丽</v>
      </c>
      <c r="C44" s="10" t="str">
        <f>"992202100319"</f>
        <v>992202100319</v>
      </c>
      <c r="D44" s="11" t="s">
        <v>4</v>
      </c>
      <c r="E44" s="12" t="s">
        <v>13</v>
      </c>
      <c r="F44" s="10" t="str">
        <f t="shared" si="3"/>
        <v>2021011</v>
      </c>
      <c r="G44" s="8" t="s">
        <v>101</v>
      </c>
      <c r="H44" s="8">
        <v>22.416</v>
      </c>
      <c r="I44" s="8" t="s">
        <v>102</v>
      </c>
      <c r="J44" s="8">
        <v>56.545999999999999</v>
      </c>
      <c r="K44" s="8">
        <v>78.959999999999994</v>
      </c>
    </row>
    <row r="45" spans="1:11" s="3" customFormat="1" x14ac:dyDescent="0.25">
      <c r="A45" s="15">
        <v>43</v>
      </c>
      <c r="B45" s="10" t="str">
        <f>"罗曼"</f>
        <v>罗曼</v>
      </c>
      <c r="C45" s="10" t="str">
        <f>"992202100313"</f>
        <v>992202100313</v>
      </c>
      <c r="D45" s="11" t="s">
        <v>4</v>
      </c>
      <c r="E45" s="12" t="s">
        <v>13</v>
      </c>
      <c r="F45" s="10" t="str">
        <f t="shared" si="3"/>
        <v>2021011</v>
      </c>
      <c r="G45" s="8" t="s">
        <v>95</v>
      </c>
      <c r="H45" s="8">
        <v>21.356999999999999</v>
      </c>
      <c r="I45" s="8" t="s">
        <v>96</v>
      </c>
      <c r="J45" s="8">
        <v>57.168999999999997</v>
      </c>
      <c r="K45" s="8">
        <v>78.53</v>
      </c>
    </row>
    <row r="46" spans="1:11" s="3" customFormat="1" x14ac:dyDescent="0.25">
      <c r="A46" s="15">
        <v>44</v>
      </c>
      <c r="B46" s="10" t="str">
        <f>"汪颜"</f>
        <v>汪颜</v>
      </c>
      <c r="C46" s="10" t="str">
        <f>"992202101727"</f>
        <v>992202101727</v>
      </c>
      <c r="D46" s="11" t="s">
        <v>4</v>
      </c>
      <c r="E46" s="12" t="s">
        <v>30</v>
      </c>
      <c r="F46" s="10" t="str">
        <f t="shared" ref="F46:F48" si="4">"2021012"</f>
        <v>2021012</v>
      </c>
      <c r="G46" s="8" t="s">
        <v>120</v>
      </c>
      <c r="H46" s="8">
        <v>20.571000000000002</v>
      </c>
      <c r="I46" s="8" t="s">
        <v>204</v>
      </c>
      <c r="J46" s="8">
        <v>62.545000000000002</v>
      </c>
      <c r="K46" s="8">
        <v>83.12</v>
      </c>
    </row>
    <row r="47" spans="1:11" s="3" customFormat="1" x14ac:dyDescent="0.25">
      <c r="A47" s="15">
        <v>45</v>
      </c>
      <c r="B47" s="10" t="str">
        <f>"王琴"</f>
        <v>王琴</v>
      </c>
      <c r="C47" s="10" t="str">
        <f>"992202101714"</f>
        <v>992202101714</v>
      </c>
      <c r="D47" s="11" t="s">
        <v>4</v>
      </c>
      <c r="E47" s="12" t="s">
        <v>30</v>
      </c>
      <c r="F47" s="10" t="str">
        <f t="shared" si="4"/>
        <v>2021012</v>
      </c>
      <c r="G47" s="8" t="s">
        <v>198</v>
      </c>
      <c r="H47" s="8">
        <v>22.26</v>
      </c>
      <c r="I47" s="8" t="s">
        <v>199</v>
      </c>
      <c r="J47" s="8">
        <v>58.03</v>
      </c>
      <c r="K47" s="8">
        <v>80.290000000000006</v>
      </c>
    </row>
    <row r="48" spans="1:11" s="3" customFormat="1" x14ac:dyDescent="0.25">
      <c r="A48" s="15">
        <v>46</v>
      </c>
      <c r="B48" s="10" t="str">
        <f>"宋广丽"</f>
        <v>宋广丽</v>
      </c>
      <c r="C48" s="10" t="str">
        <f>"992202101723"</f>
        <v>992202101723</v>
      </c>
      <c r="D48" s="11" t="s">
        <v>4</v>
      </c>
      <c r="E48" s="12" t="s">
        <v>30</v>
      </c>
      <c r="F48" s="10" t="str">
        <f t="shared" si="4"/>
        <v>2021012</v>
      </c>
      <c r="G48" s="8" t="s">
        <v>201</v>
      </c>
      <c r="H48" s="8">
        <v>20.966999999999999</v>
      </c>
      <c r="I48" s="8" t="s">
        <v>202</v>
      </c>
      <c r="J48" s="8">
        <v>58.247</v>
      </c>
      <c r="K48" s="8">
        <v>79.209999999999994</v>
      </c>
    </row>
    <row r="49" spans="1:11" s="3" customFormat="1" x14ac:dyDescent="0.25">
      <c r="A49" s="15">
        <v>47</v>
      </c>
      <c r="B49" s="10" t="str">
        <f>"冯彩梦"</f>
        <v>冯彩梦</v>
      </c>
      <c r="C49" s="10" t="str">
        <f>"992202100713"</f>
        <v>992202100713</v>
      </c>
      <c r="D49" s="11" t="s">
        <v>4</v>
      </c>
      <c r="E49" s="13" t="s">
        <v>21</v>
      </c>
      <c r="F49" s="10" t="str">
        <f t="shared" ref="F49" si="5">"2021013"</f>
        <v>2021013</v>
      </c>
      <c r="G49" s="8" t="s">
        <v>141</v>
      </c>
      <c r="H49" s="8">
        <v>22.02</v>
      </c>
      <c r="I49" s="8" t="s">
        <v>142</v>
      </c>
      <c r="J49" s="8">
        <v>52.71</v>
      </c>
      <c r="K49" s="8">
        <v>74.73</v>
      </c>
    </row>
    <row r="50" spans="1:11" s="9" customFormat="1" x14ac:dyDescent="0.25">
      <c r="A50" s="15">
        <v>48</v>
      </c>
      <c r="B50" s="10" t="str">
        <f>"方玉"</f>
        <v>方玉</v>
      </c>
      <c r="C50" s="10" t="str">
        <f>"992202100130"</f>
        <v>992202100130</v>
      </c>
      <c r="D50" s="11" t="s">
        <v>6</v>
      </c>
      <c r="E50" s="12" t="s">
        <v>7</v>
      </c>
      <c r="F50" s="10" t="str">
        <f t="shared" ref="F50:F54" si="6">"2021014"</f>
        <v>2021014</v>
      </c>
      <c r="G50" s="8" t="s">
        <v>62</v>
      </c>
      <c r="H50" s="8">
        <v>24.254999999999999</v>
      </c>
      <c r="I50" s="8" t="s">
        <v>63</v>
      </c>
      <c r="J50" s="8">
        <v>57.393000000000001</v>
      </c>
      <c r="K50" s="8">
        <v>81.650000000000006</v>
      </c>
    </row>
    <row r="51" spans="1:11" s="9" customFormat="1" x14ac:dyDescent="0.25">
      <c r="A51" s="15">
        <v>49</v>
      </c>
      <c r="B51" s="10" t="str">
        <f>"夏晓倩"</f>
        <v>夏晓倩</v>
      </c>
      <c r="C51" s="10" t="str">
        <f>"992202100202"</f>
        <v>992202100202</v>
      </c>
      <c r="D51" s="11" t="s">
        <v>6</v>
      </c>
      <c r="E51" s="12" t="s">
        <v>7</v>
      </c>
      <c r="F51" s="10" t="str">
        <f t="shared" si="6"/>
        <v>2021014</v>
      </c>
      <c r="G51" s="8" t="s">
        <v>66</v>
      </c>
      <c r="H51" s="8">
        <v>23.742000000000001</v>
      </c>
      <c r="I51" s="8" t="s">
        <v>67</v>
      </c>
      <c r="J51" s="8">
        <v>57.595999999999997</v>
      </c>
      <c r="K51" s="8">
        <v>81.34</v>
      </c>
    </row>
    <row r="52" spans="1:11" s="9" customFormat="1" x14ac:dyDescent="0.25">
      <c r="A52" s="15">
        <v>50</v>
      </c>
      <c r="B52" s="10" t="str">
        <f>"张磊"</f>
        <v>张磊</v>
      </c>
      <c r="C52" s="10" t="str">
        <f>"992202100203"</f>
        <v>992202100203</v>
      </c>
      <c r="D52" s="11" t="s">
        <v>6</v>
      </c>
      <c r="E52" s="12" t="s">
        <v>7</v>
      </c>
      <c r="F52" s="10" t="str">
        <f t="shared" si="6"/>
        <v>2021014</v>
      </c>
      <c r="G52" s="8" t="s">
        <v>68</v>
      </c>
      <c r="H52" s="8">
        <v>22.085999999999999</v>
      </c>
      <c r="I52" s="8" t="s">
        <v>69</v>
      </c>
      <c r="J52" s="8">
        <v>54.823999999999998</v>
      </c>
      <c r="K52" s="8">
        <v>76.91</v>
      </c>
    </row>
    <row r="53" spans="1:11" s="9" customFormat="1" x14ac:dyDescent="0.25">
      <c r="A53" s="15">
        <v>51</v>
      </c>
      <c r="B53" s="10" t="str">
        <f>"徐辉"</f>
        <v>徐辉</v>
      </c>
      <c r="C53" s="10" t="str">
        <f>"992202100201"</f>
        <v>992202100201</v>
      </c>
      <c r="D53" s="11" t="s">
        <v>6</v>
      </c>
      <c r="E53" s="12" t="s">
        <v>7</v>
      </c>
      <c r="F53" s="10" t="str">
        <f t="shared" si="6"/>
        <v>2021014</v>
      </c>
      <c r="G53" s="8" t="s">
        <v>64</v>
      </c>
      <c r="H53" s="8">
        <v>21.669</v>
      </c>
      <c r="I53" s="8" t="s">
        <v>65</v>
      </c>
      <c r="J53" s="8">
        <v>54.417999999999999</v>
      </c>
      <c r="K53" s="8">
        <v>76.09</v>
      </c>
    </row>
    <row r="54" spans="1:11" s="9" customFormat="1" x14ac:dyDescent="0.25">
      <c r="A54" s="15">
        <v>52</v>
      </c>
      <c r="B54" s="10" t="str">
        <f>"窦武林"</f>
        <v>窦武林</v>
      </c>
      <c r="C54" s="10" t="str">
        <f>"992202100204"</f>
        <v>992202100204</v>
      </c>
      <c r="D54" s="11" t="s">
        <v>6</v>
      </c>
      <c r="E54" s="12" t="s">
        <v>7</v>
      </c>
      <c r="F54" s="10" t="str">
        <f t="shared" si="6"/>
        <v>2021014</v>
      </c>
      <c r="G54" s="8" t="s">
        <v>70</v>
      </c>
      <c r="H54" s="8">
        <v>23.895</v>
      </c>
      <c r="I54" s="8" t="s">
        <v>71</v>
      </c>
      <c r="J54" s="8">
        <v>50.701000000000001</v>
      </c>
      <c r="K54" s="8">
        <v>74.599999999999994</v>
      </c>
    </row>
    <row r="55" spans="1:11" s="3" customFormat="1" x14ac:dyDescent="0.25">
      <c r="A55" s="15">
        <v>53</v>
      </c>
      <c r="B55" s="10" t="str">
        <f>"韩忠阳"</f>
        <v>韩忠阳</v>
      </c>
      <c r="C55" s="10" t="str">
        <f>"992202100220"</f>
        <v>992202100220</v>
      </c>
      <c r="D55" s="11" t="s">
        <v>6</v>
      </c>
      <c r="E55" s="13" t="s">
        <v>10</v>
      </c>
      <c r="F55" s="10" t="str">
        <f t="shared" ref="F55:F59" si="7">"2021015"</f>
        <v>2021015</v>
      </c>
      <c r="G55" s="8" t="s">
        <v>80</v>
      </c>
      <c r="H55" s="8">
        <v>23.166</v>
      </c>
      <c r="I55" s="8" t="s">
        <v>81</v>
      </c>
      <c r="J55" s="8">
        <v>54.095999999999997</v>
      </c>
      <c r="K55" s="8">
        <v>77.260000000000005</v>
      </c>
    </row>
    <row r="56" spans="1:11" s="3" customFormat="1" x14ac:dyDescent="0.25">
      <c r="A56" s="15">
        <v>54</v>
      </c>
      <c r="B56" s="10" t="str">
        <f>"徐家乐"</f>
        <v>徐家乐</v>
      </c>
      <c r="C56" s="10" t="str">
        <f>"992202100217"</f>
        <v>992202100217</v>
      </c>
      <c r="D56" s="11" t="s">
        <v>6</v>
      </c>
      <c r="E56" s="13" t="s">
        <v>10</v>
      </c>
      <c r="F56" s="10" t="str">
        <f t="shared" si="7"/>
        <v>2021015</v>
      </c>
      <c r="G56" s="8" t="s">
        <v>49</v>
      </c>
      <c r="H56" s="8">
        <v>25.658999999999999</v>
      </c>
      <c r="I56" s="8" t="s">
        <v>77</v>
      </c>
      <c r="J56" s="8">
        <v>51.499000000000002</v>
      </c>
      <c r="K56" s="8">
        <v>77.16</v>
      </c>
    </row>
    <row r="57" spans="1:11" s="3" customFormat="1" x14ac:dyDescent="0.25">
      <c r="A57" s="15">
        <v>55</v>
      </c>
      <c r="B57" s="10" t="str">
        <f>"张怡敏"</f>
        <v>张怡敏</v>
      </c>
      <c r="C57" s="10" t="str">
        <f>"992202100230"</f>
        <v>992202100230</v>
      </c>
      <c r="D57" s="11" t="s">
        <v>6</v>
      </c>
      <c r="E57" s="13" t="s">
        <v>10</v>
      </c>
      <c r="F57" s="10" t="str">
        <f t="shared" si="7"/>
        <v>2021015</v>
      </c>
      <c r="G57" s="8" t="s">
        <v>85</v>
      </c>
      <c r="H57" s="8">
        <v>24.201000000000001</v>
      </c>
      <c r="I57" s="8" t="s">
        <v>86</v>
      </c>
      <c r="J57" s="8">
        <v>52.773000000000003</v>
      </c>
      <c r="K57" s="8">
        <v>76.97</v>
      </c>
    </row>
    <row r="58" spans="1:11" s="3" customFormat="1" x14ac:dyDescent="0.25">
      <c r="A58" s="15">
        <v>56</v>
      </c>
      <c r="B58" s="10" t="str">
        <f>"黄世刚"</f>
        <v>黄世刚</v>
      </c>
      <c r="C58" s="10" t="str">
        <f>"992202100223"</f>
        <v>992202100223</v>
      </c>
      <c r="D58" s="11" t="s">
        <v>6</v>
      </c>
      <c r="E58" s="13" t="s">
        <v>10</v>
      </c>
      <c r="F58" s="10" t="str">
        <f t="shared" si="7"/>
        <v>2021015</v>
      </c>
      <c r="G58" s="8" t="s">
        <v>82</v>
      </c>
      <c r="H58" s="8">
        <v>20.241</v>
      </c>
      <c r="I58" s="8" t="s">
        <v>83</v>
      </c>
      <c r="J58" s="8">
        <v>55.503</v>
      </c>
      <c r="K58" s="8">
        <v>75.739999999999995</v>
      </c>
    </row>
    <row r="59" spans="1:11" s="3" customFormat="1" x14ac:dyDescent="0.25">
      <c r="A59" s="15">
        <v>57</v>
      </c>
      <c r="B59" s="10" t="str">
        <f>"解勇"</f>
        <v>解勇</v>
      </c>
      <c r="C59" s="10" t="str">
        <f>"992202100218"</f>
        <v>992202100218</v>
      </c>
      <c r="D59" s="11" t="s">
        <v>6</v>
      </c>
      <c r="E59" s="13" t="s">
        <v>10</v>
      </c>
      <c r="F59" s="10" t="str">
        <f t="shared" si="7"/>
        <v>2021015</v>
      </c>
      <c r="G59" s="8" t="s">
        <v>78</v>
      </c>
      <c r="H59" s="8">
        <v>24.710999999999999</v>
      </c>
      <c r="I59" s="8" t="s">
        <v>79</v>
      </c>
      <c r="J59" s="8">
        <v>49.881999999999998</v>
      </c>
      <c r="K59" s="8">
        <v>74.59</v>
      </c>
    </row>
    <row r="60" spans="1:11" s="3" customFormat="1" x14ac:dyDescent="0.25">
      <c r="A60" s="15">
        <v>58</v>
      </c>
      <c r="B60" s="10" t="str">
        <f>"张世禹"</f>
        <v>张世禹</v>
      </c>
      <c r="C60" s="10" t="str">
        <f>"992202100527"</f>
        <v>992202100527</v>
      </c>
      <c r="D60" s="11" t="s">
        <v>6</v>
      </c>
      <c r="E60" s="13" t="s">
        <v>19</v>
      </c>
      <c r="F60" s="10" t="str">
        <f>"2021016"</f>
        <v>2021016</v>
      </c>
      <c r="G60" s="8" t="s">
        <v>137</v>
      </c>
      <c r="H60" s="8">
        <v>24.620999999999999</v>
      </c>
      <c r="I60" s="8" t="s">
        <v>138</v>
      </c>
      <c r="J60" s="8">
        <v>49.734999999999999</v>
      </c>
      <c r="K60" s="8">
        <v>74.36</v>
      </c>
    </row>
    <row r="61" spans="1:11" s="3" customFormat="1" x14ac:dyDescent="0.25">
      <c r="A61" s="15">
        <v>59</v>
      </c>
      <c r="B61" s="10" t="str">
        <f>"王冉冉"</f>
        <v>王冉冉</v>
      </c>
      <c r="C61" s="10" t="str">
        <f>"992202100508"</f>
        <v>992202100508</v>
      </c>
      <c r="D61" s="11" t="s">
        <v>6</v>
      </c>
      <c r="E61" s="13" t="s">
        <v>16</v>
      </c>
      <c r="F61" s="10" t="str">
        <f t="shared" ref="F61" si="8">"2021018"</f>
        <v>2021018</v>
      </c>
      <c r="G61" s="8" t="s">
        <v>126</v>
      </c>
      <c r="H61" s="8">
        <v>21.477</v>
      </c>
      <c r="I61" s="8" t="s">
        <v>127</v>
      </c>
      <c r="J61" s="8">
        <v>56.741999999999997</v>
      </c>
      <c r="K61" s="8">
        <v>78.22</v>
      </c>
    </row>
    <row r="62" spans="1:11" s="3" customFormat="1" x14ac:dyDescent="0.25">
      <c r="A62" s="15">
        <v>60</v>
      </c>
      <c r="B62" s="10" t="str">
        <f>"冷文清"</f>
        <v>冷文清</v>
      </c>
      <c r="C62" s="10" t="str">
        <f>"992202100521"</f>
        <v>992202100521</v>
      </c>
      <c r="D62" s="11" t="s">
        <v>6</v>
      </c>
      <c r="E62" s="13" t="s">
        <v>17</v>
      </c>
      <c r="F62" s="10" t="str">
        <f t="shared" ref="F62" si="9">"2021019"</f>
        <v>2021019</v>
      </c>
      <c r="G62" s="8" t="s">
        <v>131</v>
      </c>
      <c r="H62" s="8">
        <v>23.954999999999998</v>
      </c>
      <c r="I62" s="8" t="s">
        <v>132</v>
      </c>
      <c r="J62" s="8">
        <v>46.844000000000001</v>
      </c>
      <c r="K62" s="8">
        <v>70.8</v>
      </c>
    </row>
    <row r="63" spans="1:11" s="3" customFormat="1" x14ac:dyDescent="0.25">
      <c r="A63" s="15">
        <v>61</v>
      </c>
      <c r="B63" s="10" t="str">
        <f>"徐畅"</f>
        <v>徐畅</v>
      </c>
      <c r="C63" s="10" t="str">
        <f>"992202100802"</f>
        <v>992202100802</v>
      </c>
      <c r="D63" s="11" t="s">
        <v>6</v>
      </c>
      <c r="E63" s="14" t="s">
        <v>23</v>
      </c>
      <c r="F63" s="10" t="str">
        <f t="shared" ref="F63:F68" si="10">"2021020"</f>
        <v>2021020</v>
      </c>
      <c r="G63" s="8" t="s">
        <v>147</v>
      </c>
      <c r="H63" s="8">
        <v>21.417000000000002</v>
      </c>
      <c r="I63" s="8" t="s">
        <v>148</v>
      </c>
      <c r="J63" s="8">
        <v>59.465000000000003</v>
      </c>
      <c r="K63" s="8">
        <v>80.88</v>
      </c>
    </row>
    <row r="64" spans="1:11" s="3" customFormat="1" x14ac:dyDescent="0.25">
      <c r="A64" s="15">
        <v>62</v>
      </c>
      <c r="B64" s="10" t="str">
        <f>"董永琴"</f>
        <v>董永琴</v>
      </c>
      <c r="C64" s="10" t="str">
        <f>"992202100811"</f>
        <v>992202100811</v>
      </c>
      <c r="D64" s="11" t="s">
        <v>6</v>
      </c>
      <c r="E64" s="14" t="s">
        <v>23</v>
      </c>
      <c r="F64" s="10" t="str">
        <f t="shared" si="10"/>
        <v>2021020</v>
      </c>
      <c r="G64" s="8" t="s">
        <v>117</v>
      </c>
      <c r="H64" s="8">
        <v>20.916</v>
      </c>
      <c r="I64" s="8" t="s">
        <v>149</v>
      </c>
      <c r="J64" s="8">
        <v>59.345999999999997</v>
      </c>
      <c r="K64" s="8">
        <v>80.260000000000005</v>
      </c>
    </row>
    <row r="65" spans="1:11" s="3" customFormat="1" x14ac:dyDescent="0.25">
      <c r="A65" s="15">
        <v>63</v>
      </c>
      <c r="B65" s="10" t="str">
        <f>"王翠雅"</f>
        <v>王翠雅</v>
      </c>
      <c r="C65" s="10" t="str">
        <f>"992202100816"</f>
        <v>992202100816</v>
      </c>
      <c r="D65" s="11" t="s">
        <v>6</v>
      </c>
      <c r="E65" s="14" t="s">
        <v>23</v>
      </c>
      <c r="F65" s="10" t="str">
        <f t="shared" si="10"/>
        <v>2021020</v>
      </c>
      <c r="G65" s="8" t="s">
        <v>152</v>
      </c>
      <c r="H65" s="8">
        <v>22.302</v>
      </c>
      <c r="I65" s="8" t="s">
        <v>153</v>
      </c>
      <c r="J65" s="8">
        <v>56.622999999999998</v>
      </c>
      <c r="K65" s="8">
        <v>78.930000000000007</v>
      </c>
    </row>
    <row r="66" spans="1:11" s="3" customFormat="1" x14ac:dyDescent="0.25">
      <c r="A66" s="15">
        <v>64</v>
      </c>
      <c r="B66" s="10" t="str">
        <f>"夏林静"</f>
        <v>夏林静</v>
      </c>
      <c r="C66" s="10" t="str">
        <f>"992202100801"</f>
        <v>992202100801</v>
      </c>
      <c r="D66" s="11" t="s">
        <v>6</v>
      </c>
      <c r="E66" s="14" t="s">
        <v>23</v>
      </c>
      <c r="F66" s="10" t="str">
        <f t="shared" si="10"/>
        <v>2021020</v>
      </c>
      <c r="G66" s="8" t="s">
        <v>145</v>
      </c>
      <c r="H66" s="8">
        <v>22.766999999999999</v>
      </c>
      <c r="I66" s="8" t="s">
        <v>146</v>
      </c>
      <c r="J66" s="8">
        <v>52.878</v>
      </c>
      <c r="K66" s="8">
        <v>75.650000000000006</v>
      </c>
    </row>
    <row r="67" spans="1:11" s="3" customFormat="1" x14ac:dyDescent="0.25">
      <c r="A67" s="15">
        <v>65</v>
      </c>
      <c r="B67" s="10" t="str">
        <f>"郑诗仙"</f>
        <v>郑诗仙</v>
      </c>
      <c r="C67" s="10" t="str">
        <f>"992202100817"</f>
        <v>992202100817</v>
      </c>
      <c r="D67" s="11" t="s">
        <v>6</v>
      </c>
      <c r="E67" s="14" t="s">
        <v>23</v>
      </c>
      <c r="F67" s="10" t="str">
        <f t="shared" si="10"/>
        <v>2021020</v>
      </c>
      <c r="G67" s="8" t="s">
        <v>154</v>
      </c>
      <c r="H67" s="8">
        <v>20.681999999999999</v>
      </c>
      <c r="I67" s="8" t="s">
        <v>155</v>
      </c>
      <c r="J67" s="8">
        <v>51.225999999999999</v>
      </c>
      <c r="K67" s="8">
        <v>71.91</v>
      </c>
    </row>
    <row r="68" spans="1:11" s="3" customFormat="1" x14ac:dyDescent="0.25">
      <c r="A68" s="15">
        <v>66</v>
      </c>
      <c r="B68" s="10" t="str">
        <f>"肖学志"</f>
        <v>肖学志</v>
      </c>
      <c r="C68" s="10" t="str">
        <f>"992202100814"</f>
        <v>992202100814</v>
      </c>
      <c r="D68" s="11" t="s">
        <v>6</v>
      </c>
      <c r="E68" s="14" t="s">
        <v>23</v>
      </c>
      <c r="F68" s="10" t="str">
        <f t="shared" si="10"/>
        <v>2021020</v>
      </c>
      <c r="G68" s="8" t="s">
        <v>150</v>
      </c>
      <c r="H68" s="8">
        <v>20.024999999999999</v>
      </c>
      <c r="I68" s="8" t="s">
        <v>151</v>
      </c>
      <c r="J68" s="8">
        <v>51.478000000000002</v>
      </c>
      <c r="K68" s="8">
        <v>71.5</v>
      </c>
    </row>
    <row r="69" spans="1:11" s="3" customFormat="1" x14ac:dyDescent="0.25">
      <c r="A69" s="15">
        <v>67</v>
      </c>
      <c r="B69" s="10" t="str">
        <f>"汪景"</f>
        <v>汪景</v>
      </c>
      <c r="C69" s="10" t="str">
        <f>"992202101908"</f>
        <v>992202101908</v>
      </c>
      <c r="D69" s="11" t="s">
        <v>6</v>
      </c>
      <c r="E69" s="12" t="s">
        <v>31</v>
      </c>
      <c r="F69" s="10" t="str">
        <f t="shared" ref="F69:F94" si="11">"2021021"</f>
        <v>2021021</v>
      </c>
      <c r="G69" s="8" t="s">
        <v>217</v>
      </c>
      <c r="H69" s="8">
        <v>25.248000000000001</v>
      </c>
      <c r="I69" s="8" t="s">
        <v>218</v>
      </c>
      <c r="J69" s="8">
        <v>58.302999999999997</v>
      </c>
      <c r="K69" s="8">
        <v>83.55</v>
      </c>
    </row>
    <row r="70" spans="1:11" s="3" customFormat="1" x14ac:dyDescent="0.25">
      <c r="A70" s="15">
        <v>68</v>
      </c>
      <c r="B70" s="10" t="str">
        <f>"李孟欣"</f>
        <v>李孟欣</v>
      </c>
      <c r="C70" s="10" t="str">
        <f>"992202101914"</f>
        <v>992202101914</v>
      </c>
      <c r="D70" s="11" t="s">
        <v>6</v>
      </c>
      <c r="E70" s="12" t="s">
        <v>31</v>
      </c>
      <c r="F70" s="10" t="str">
        <f t="shared" si="11"/>
        <v>2021021</v>
      </c>
      <c r="G70" s="8" t="s">
        <v>219</v>
      </c>
      <c r="H70" s="8">
        <v>22.773</v>
      </c>
      <c r="I70" s="8" t="s">
        <v>171</v>
      </c>
      <c r="J70" s="8">
        <v>60.767000000000003</v>
      </c>
      <c r="K70" s="8">
        <v>83.54</v>
      </c>
    </row>
    <row r="71" spans="1:11" s="3" customFormat="1" x14ac:dyDescent="0.25">
      <c r="A71" s="15">
        <v>69</v>
      </c>
      <c r="B71" s="10" t="str">
        <f>"张义娟"</f>
        <v>张义娟</v>
      </c>
      <c r="C71" s="10" t="str">
        <f>"992202101818"</f>
        <v>992202101818</v>
      </c>
      <c r="D71" s="11" t="s">
        <v>6</v>
      </c>
      <c r="E71" s="12" t="s">
        <v>31</v>
      </c>
      <c r="F71" s="10" t="str">
        <f t="shared" si="11"/>
        <v>2021021</v>
      </c>
      <c r="G71" s="8" t="s">
        <v>162</v>
      </c>
      <c r="H71" s="8">
        <v>21.800999999999998</v>
      </c>
      <c r="I71" s="8" t="s">
        <v>210</v>
      </c>
      <c r="J71" s="8">
        <v>60.116</v>
      </c>
      <c r="K71" s="8">
        <v>81.92</v>
      </c>
    </row>
    <row r="72" spans="1:11" s="3" customFormat="1" x14ac:dyDescent="0.25">
      <c r="A72" s="15">
        <v>70</v>
      </c>
      <c r="B72" s="10" t="str">
        <f>"钱学健"</f>
        <v>钱学健</v>
      </c>
      <c r="C72" s="10" t="str">
        <f>"992202102207"</f>
        <v>992202102207</v>
      </c>
      <c r="D72" s="11" t="s">
        <v>6</v>
      </c>
      <c r="E72" s="12" t="s">
        <v>31</v>
      </c>
      <c r="F72" s="10" t="str">
        <f t="shared" si="11"/>
        <v>2021021</v>
      </c>
      <c r="G72" s="8" t="s">
        <v>198</v>
      </c>
      <c r="H72" s="8">
        <v>22.26</v>
      </c>
      <c r="I72" s="8" t="s">
        <v>234</v>
      </c>
      <c r="J72" s="8">
        <v>58.8</v>
      </c>
      <c r="K72" s="8">
        <v>81.06</v>
      </c>
    </row>
    <row r="73" spans="1:11" s="3" customFormat="1" x14ac:dyDescent="0.25">
      <c r="A73" s="15">
        <v>71</v>
      </c>
      <c r="B73" s="10" t="str">
        <f>"刘梦圆"</f>
        <v>刘梦圆</v>
      </c>
      <c r="C73" s="10" t="str">
        <f>"992202102005"</f>
        <v>992202102005</v>
      </c>
      <c r="D73" s="11" t="s">
        <v>6</v>
      </c>
      <c r="E73" s="12" t="s">
        <v>31</v>
      </c>
      <c r="F73" s="10" t="str">
        <f t="shared" si="11"/>
        <v>2021021</v>
      </c>
      <c r="G73" s="8" t="s">
        <v>222</v>
      </c>
      <c r="H73" s="8">
        <v>21.963000000000001</v>
      </c>
      <c r="I73" s="8" t="s">
        <v>223</v>
      </c>
      <c r="J73" s="8">
        <v>59.024000000000001</v>
      </c>
      <c r="K73" s="8">
        <v>80.989999999999995</v>
      </c>
    </row>
    <row r="74" spans="1:11" s="3" customFormat="1" x14ac:dyDescent="0.25">
      <c r="A74" s="15">
        <v>72</v>
      </c>
      <c r="B74" s="10" t="str">
        <f>"郭珊珊"</f>
        <v>郭珊珊</v>
      </c>
      <c r="C74" s="10" t="str">
        <f>"992202102109"</f>
        <v>992202102109</v>
      </c>
      <c r="D74" s="11" t="s">
        <v>6</v>
      </c>
      <c r="E74" s="12" t="s">
        <v>31</v>
      </c>
      <c r="F74" s="10" t="str">
        <f t="shared" si="11"/>
        <v>2021021</v>
      </c>
      <c r="G74" s="8" t="s">
        <v>230</v>
      </c>
      <c r="H74" s="8">
        <v>18.992999999999999</v>
      </c>
      <c r="I74" s="8" t="s">
        <v>211</v>
      </c>
      <c r="J74" s="8">
        <v>61.473999999999997</v>
      </c>
      <c r="K74" s="8">
        <v>80.47</v>
      </c>
    </row>
    <row r="75" spans="1:11" s="3" customFormat="1" x14ac:dyDescent="0.25">
      <c r="A75" s="15">
        <v>73</v>
      </c>
      <c r="B75" s="10" t="str">
        <f>"朱倩雯"</f>
        <v>朱倩雯</v>
      </c>
      <c r="C75" s="10" t="str">
        <f>"992202102212"</f>
        <v>992202102212</v>
      </c>
      <c r="D75" s="11" t="s">
        <v>6</v>
      </c>
      <c r="E75" s="12" t="s">
        <v>31</v>
      </c>
      <c r="F75" s="10" t="str">
        <f t="shared" si="11"/>
        <v>2021021</v>
      </c>
      <c r="G75" s="8" t="s">
        <v>130</v>
      </c>
      <c r="H75" s="8">
        <v>20.937000000000001</v>
      </c>
      <c r="I75" s="8" t="s">
        <v>239</v>
      </c>
      <c r="J75" s="8">
        <v>59.415999999999997</v>
      </c>
      <c r="K75" s="8">
        <v>80.349999999999994</v>
      </c>
    </row>
    <row r="76" spans="1:11" s="3" customFormat="1" x14ac:dyDescent="0.25">
      <c r="A76" s="15">
        <v>74</v>
      </c>
      <c r="B76" s="10" t="str">
        <f>"潘健怡"</f>
        <v>潘健怡</v>
      </c>
      <c r="C76" s="10" t="str">
        <f>"992202102211"</f>
        <v>992202102211</v>
      </c>
      <c r="D76" s="11" t="s">
        <v>6</v>
      </c>
      <c r="E76" s="12" t="s">
        <v>31</v>
      </c>
      <c r="F76" s="10" t="str">
        <f t="shared" si="11"/>
        <v>2021021</v>
      </c>
      <c r="G76" s="8" t="s">
        <v>237</v>
      </c>
      <c r="H76" s="8">
        <v>23.163</v>
      </c>
      <c r="I76" s="8" t="s">
        <v>238</v>
      </c>
      <c r="J76" s="8">
        <v>56.392000000000003</v>
      </c>
      <c r="K76" s="8">
        <v>79.56</v>
      </c>
    </row>
    <row r="77" spans="1:11" s="3" customFormat="1" x14ac:dyDescent="0.25">
      <c r="A77" s="15">
        <v>75</v>
      </c>
      <c r="B77" s="10" t="str">
        <f>"王瑞"</f>
        <v>王瑞</v>
      </c>
      <c r="C77" s="10" t="str">
        <f>"992202102217"</f>
        <v>992202102217</v>
      </c>
      <c r="D77" s="11" t="s">
        <v>6</v>
      </c>
      <c r="E77" s="12" t="s">
        <v>31</v>
      </c>
      <c r="F77" s="10" t="str">
        <f t="shared" si="11"/>
        <v>2021021</v>
      </c>
      <c r="G77" s="8" t="s">
        <v>161</v>
      </c>
      <c r="H77" s="8">
        <v>21.021000000000001</v>
      </c>
      <c r="I77" s="8" t="s">
        <v>240</v>
      </c>
      <c r="J77" s="8">
        <v>58.106999999999999</v>
      </c>
      <c r="K77" s="8">
        <v>79.13</v>
      </c>
    </row>
    <row r="78" spans="1:11" s="3" customFormat="1" x14ac:dyDescent="0.25">
      <c r="A78" s="15">
        <v>76</v>
      </c>
      <c r="B78" s="10" t="str">
        <f>"张颖"</f>
        <v>张颖</v>
      </c>
      <c r="C78" s="10" t="str">
        <f>"992202101906"</f>
        <v>992202101906</v>
      </c>
      <c r="D78" s="11" t="s">
        <v>6</v>
      </c>
      <c r="E78" s="12" t="s">
        <v>31</v>
      </c>
      <c r="F78" s="10" t="str">
        <f t="shared" si="11"/>
        <v>2021021</v>
      </c>
      <c r="G78" s="8" t="s">
        <v>215</v>
      </c>
      <c r="H78" s="8">
        <v>23.439</v>
      </c>
      <c r="I78" s="8" t="s">
        <v>216</v>
      </c>
      <c r="J78" s="8">
        <v>55.537999999999997</v>
      </c>
      <c r="K78" s="8">
        <v>78.98</v>
      </c>
    </row>
    <row r="79" spans="1:11" s="3" customFormat="1" x14ac:dyDescent="0.25">
      <c r="A79" s="15">
        <v>77</v>
      </c>
      <c r="B79" s="10" t="str">
        <f>"蔡敏"</f>
        <v>蔡敏</v>
      </c>
      <c r="C79" s="10" t="str">
        <f>"992202102121"</f>
        <v>992202102121</v>
      </c>
      <c r="D79" s="11" t="s">
        <v>6</v>
      </c>
      <c r="E79" s="12" t="s">
        <v>31</v>
      </c>
      <c r="F79" s="10" t="str">
        <f t="shared" si="11"/>
        <v>2021021</v>
      </c>
      <c r="G79" s="8" t="s">
        <v>231</v>
      </c>
      <c r="H79" s="8">
        <v>20.007000000000001</v>
      </c>
      <c r="I79" s="8" t="s">
        <v>232</v>
      </c>
      <c r="J79" s="8">
        <v>58.933</v>
      </c>
      <c r="K79" s="8">
        <v>78.94</v>
      </c>
    </row>
    <row r="80" spans="1:11" s="3" customFormat="1" x14ac:dyDescent="0.25">
      <c r="A80" s="15">
        <v>78</v>
      </c>
      <c r="B80" s="10" t="str">
        <f>"阚慧玲"</f>
        <v>阚慧玲</v>
      </c>
      <c r="C80" s="10" t="str">
        <f>"992202101821"</f>
        <v>992202101821</v>
      </c>
      <c r="D80" s="11" t="s">
        <v>6</v>
      </c>
      <c r="E80" s="12" t="s">
        <v>31</v>
      </c>
      <c r="F80" s="10" t="str">
        <f t="shared" si="11"/>
        <v>2021021</v>
      </c>
      <c r="G80" s="8" t="s">
        <v>212</v>
      </c>
      <c r="H80" s="8">
        <v>22.515000000000001</v>
      </c>
      <c r="I80" s="8" t="s">
        <v>172</v>
      </c>
      <c r="J80" s="8">
        <v>56.399000000000001</v>
      </c>
      <c r="K80" s="8">
        <v>78.91</v>
      </c>
    </row>
    <row r="81" spans="1:11" s="3" customFormat="1" x14ac:dyDescent="0.25">
      <c r="A81" s="15">
        <v>79</v>
      </c>
      <c r="B81" s="10" t="str">
        <f>"陶婧"</f>
        <v>陶婧</v>
      </c>
      <c r="C81" s="10" t="str">
        <f>"992202102103"</f>
        <v>992202102103</v>
      </c>
      <c r="D81" s="11" t="s">
        <v>6</v>
      </c>
      <c r="E81" s="12" t="s">
        <v>31</v>
      </c>
      <c r="F81" s="10" t="str">
        <f t="shared" si="11"/>
        <v>2021021</v>
      </c>
      <c r="G81" s="8" t="s">
        <v>227</v>
      </c>
      <c r="H81" s="8">
        <v>21.102</v>
      </c>
      <c r="I81" s="8" t="s">
        <v>228</v>
      </c>
      <c r="J81" s="8">
        <v>57.728999999999999</v>
      </c>
      <c r="K81" s="8">
        <v>78.83</v>
      </c>
    </row>
    <row r="82" spans="1:11" s="3" customFormat="1" x14ac:dyDescent="0.25">
      <c r="A82" s="15">
        <v>80</v>
      </c>
      <c r="B82" s="10" t="str">
        <f>"谢陈"</f>
        <v>谢陈</v>
      </c>
      <c r="C82" s="10" t="str">
        <f>"992202101905"</f>
        <v>992202101905</v>
      </c>
      <c r="D82" s="11" t="s">
        <v>6</v>
      </c>
      <c r="E82" s="12" t="s">
        <v>31</v>
      </c>
      <c r="F82" s="10" t="str">
        <f t="shared" si="11"/>
        <v>2021021</v>
      </c>
      <c r="G82" s="8" t="s">
        <v>213</v>
      </c>
      <c r="H82" s="8">
        <v>20.178000000000001</v>
      </c>
      <c r="I82" s="8" t="s">
        <v>214</v>
      </c>
      <c r="J82" s="8">
        <v>58.597000000000001</v>
      </c>
      <c r="K82" s="8">
        <v>78.78</v>
      </c>
    </row>
    <row r="83" spans="1:11" s="3" customFormat="1" x14ac:dyDescent="0.25">
      <c r="A83" s="15">
        <v>81</v>
      </c>
      <c r="B83" s="10" t="str">
        <f>"刘璐"</f>
        <v>刘璐</v>
      </c>
      <c r="C83" s="10" t="str">
        <f>"992202102224"</f>
        <v>992202102224</v>
      </c>
      <c r="D83" s="11" t="s">
        <v>6</v>
      </c>
      <c r="E83" s="12" t="s">
        <v>31</v>
      </c>
      <c r="F83" s="10" t="str">
        <f t="shared" si="11"/>
        <v>2021021</v>
      </c>
      <c r="G83" s="8" t="s">
        <v>167</v>
      </c>
      <c r="H83" s="8">
        <v>20.49</v>
      </c>
      <c r="I83" s="8" t="s">
        <v>226</v>
      </c>
      <c r="J83" s="8">
        <v>57.862000000000002</v>
      </c>
      <c r="K83" s="8">
        <v>78.349999999999994</v>
      </c>
    </row>
    <row r="84" spans="1:11" s="3" customFormat="1" x14ac:dyDescent="0.25">
      <c r="A84" s="15">
        <v>82</v>
      </c>
      <c r="B84" s="10" t="str">
        <f>"胡馨月"</f>
        <v>胡馨月</v>
      </c>
      <c r="C84" s="10" t="str">
        <f>"992202102223"</f>
        <v>992202102223</v>
      </c>
      <c r="D84" s="11" t="s">
        <v>6</v>
      </c>
      <c r="E84" s="12" t="s">
        <v>31</v>
      </c>
      <c r="F84" s="10" t="str">
        <f t="shared" si="11"/>
        <v>2021021</v>
      </c>
      <c r="G84" s="8" t="s">
        <v>241</v>
      </c>
      <c r="H84" s="8">
        <v>20.46</v>
      </c>
      <c r="I84" s="8" t="s">
        <v>242</v>
      </c>
      <c r="J84" s="8">
        <v>57.68</v>
      </c>
      <c r="K84" s="8">
        <v>78.14</v>
      </c>
    </row>
    <row r="85" spans="1:11" s="3" customFormat="1" x14ac:dyDescent="0.25">
      <c r="A85" s="15">
        <v>83</v>
      </c>
      <c r="B85" s="10" t="str">
        <f>"郑雨欣"</f>
        <v>郑雨欣</v>
      </c>
      <c r="C85" s="10" t="str">
        <f>"992202101801"</f>
        <v>992202101801</v>
      </c>
      <c r="D85" s="11" t="s">
        <v>6</v>
      </c>
      <c r="E85" s="12" t="s">
        <v>31</v>
      </c>
      <c r="F85" s="10" t="str">
        <f t="shared" si="11"/>
        <v>2021021</v>
      </c>
      <c r="G85" s="8" t="s">
        <v>205</v>
      </c>
      <c r="H85" s="8">
        <v>19.125</v>
      </c>
      <c r="I85" s="8" t="s">
        <v>206</v>
      </c>
      <c r="J85" s="8">
        <v>58.66</v>
      </c>
      <c r="K85" s="8">
        <v>77.790000000000006</v>
      </c>
    </row>
    <row r="86" spans="1:11" s="3" customFormat="1" x14ac:dyDescent="0.25">
      <c r="A86" s="15">
        <v>84</v>
      </c>
      <c r="B86" s="10" t="str">
        <f>"程夏丽"</f>
        <v>程夏丽</v>
      </c>
      <c r="C86" s="10" t="str">
        <f>"992202102115"</f>
        <v>992202102115</v>
      </c>
      <c r="D86" s="11" t="s">
        <v>6</v>
      </c>
      <c r="E86" s="12" t="s">
        <v>31</v>
      </c>
      <c r="F86" s="10" t="str">
        <f t="shared" si="11"/>
        <v>2021021</v>
      </c>
      <c r="G86" s="8" t="s">
        <v>176</v>
      </c>
      <c r="H86" s="8">
        <v>20.457000000000001</v>
      </c>
      <c r="I86" s="8" t="s">
        <v>179</v>
      </c>
      <c r="J86" s="8">
        <v>57.029000000000003</v>
      </c>
      <c r="K86" s="8">
        <v>77.489999999999995</v>
      </c>
    </row>
    <row r="87" spans="1:11" s="3" customFormat="1" x14ac:dyDescent="0.25">
      <c r="A87" s="15">
        <v>85</v>
      </c>
      <c r="B87" s="10" t="str">
        <f>"李朝娟"</f>
        <v>李朝娟</v>
      </c>
      <c r="C87" s="10" t="str">
        <f>"992202101806"</f>
        <v>992202101806</v>
      </c>
      <c r="D87" s="11" t="s">
        <v>6</v>
      </c>
      <c r="E87" s="12" t="s">
        <v>31</v>
      </c>
      <c r="F87" s="10" t="str">
        <f t="shared" si="11"/>
        <v>2021021</v>
      </c>
      <c r="G87" s="8" t="s">
        <v>207</v>
      </c>
      <c r="H87" s="8">
        <v>18.654</v>
      </c>
      <c r="I87" s="8" t="s">
        <v>208</v>
      </c>
      <c r="J87" s="8">
        <v>58.73</v>
      </c>
      <c r="K87" s="8">
        <v>77.38</v>
      </c>
    </row>
    <row r="88" spans="1:11" s="3" customFormat="1" x14ac:dyDescent="0.25">
      <c r="A88" s="15">
        <v>86</v>
      </c>
      <c r="B88" s="10" t="str">
        <f>"王珊珊"</f>
        <v>王珊珊</v>
      </c>
      <c r="C88" s="10" t="str">
        <f>"992202102018"</f>
        <v>992202102018</v>
      </c>
      <c r="D88" s="11" t="s">
        <v>6</v>
      </c>
      <c r="E88" s="12" t="s">
        <v>31</v>
      </c>
      <c r="F88" s="10" t="str">
        <f t="shared" si="11"/>
        <v>2021021</v>
      </c>
      <c r="G88" s="8" t="s">
        <v>224</v>
      </c>
      <c r="H88" s="8">
        <v>19.277999999999999</v>
      </c>
      <c r="I88" s="8" t="s">
        <v>225</v>
      </c>
      <c r="J88" s="8">
        <v>58.1</v>
      </c>
      <c r="K88" s="8">
        <v>77.38</v>
      </c>
    </row>
    <row r="89" spans="1:11" s="3" customFormat="1" x14ac:dyDescent="0.25">
      <c r="A89" s="15">
        <v>87</v>
      </c>
      <c r="B89" s="10" t="str">
        <f>"杨巧玉"</f>
        <v>杨巧玉</v>
      </c>
      <c r="C89" s="10" t="str">
        <f>"992202101915"</f>
        <v>992202101915</v>
      </c>
      <c r="D89" s="11" t="s">
        <v>6</v>
      </c>
      <c r="E89" s="12" t="s">
        <v>31</v>
      </c>
      <c r="F89" s="10" t="str">
        <f t="shared" si="11"/>
        <v>2021021</v>
      </c>
      <c r="G89" s="8" t="s">
        <v>220</v>
      </c>
      <c r="H89" s="8">
        <v>19.818000000000001</v>
      </c>
      <c r="I89" s="8" t="s">
        <v>221</v>
      </c>
      <c r="J89" s="8">
        <v>57.533000000000001</v>
      </c>
      <c r="K89" s="8">
        <v>77.349999999999994</v>
      </c>
    </row>
    <row r="90" spans="1:11" s="3" customFormat="1" x14ac:dyDescent="0.25">
      <c r="A90" s="15">
        <v>88</v>
      </c>
      <c r="B90" s="10" t="str">
        <f>"陈宝莲"</f>
        <v>陈宝莲</v>
      </c>
      <c r="C90" s="10" t="str">
        <f>"992202102227"</f>
        <v>992202102227</v>
      </c>
      <c r="D90" s="11" t="s">
        <v>6</v>
      </c>
      <c r="E90" s="12" t="s">
        <v>31</v>
      </c>
      <c r="F90" s="10" t="str">
        <f t="shared" si="11"/>
        <v>2021021</v>
      </c>
      <c r="G90" s="8" t="s">
        <v>243</v>
      </c>
      <c r="H90" s="8">
        <v>18.995999999999999</v>
      </c>
      <c r="I90" s="8" t="s">
        <v>244</v>
      </c>
      <c r="J90" s="8">
        <v>58.149000000000001</v>
      </c>
      <c r="K90" s="8">
        <v>77.150000000000006</v>
      </c>
    </row>
    <row r="91" spans="1:11" s="3" customFormat="1" x14ac:dyDescent="0.25">
      <c r="A91" s="15">
        <v>89</v>
      </c>
      <c r="B91" s="10" t="str">
        <f>"王洁"</f>
        <v>王洁</v>
      </c>
      <c r="C91" s="10" t="str">
        <f>"992202102208"</f>
        <v>992202102208</v>
      </c>
      <c r="D91" s="11" t="s">
        <v>6</v>
      </c>
      <c r="E91" s="12" t="s">
        <v>31</v>
      </c>
      <c r="F91" s="10" t="str">
        <f t="shared" si="11"/>
        <v>2021021</v>
      </c>
      <c r="G91" s="8" t="s">
        <v>235</v>
      </c>
      <c r="H91" s="8">
        <v>21.15</v>
      </c>
      <c r="I91" s="8" t="s">
        <v>236</v>
      </c>
      <c r="J91" s="8">
        <v>55.677999999999997</v>
      </c>
      <c r="K91" s="8">
        <v>76.83</v>
      </c>
    </row>
    <row r="92" spans="1:11" s="3" customFormat="1" x14ac:dyDescent="0.25">
      <c r="A92" s="15">
        <v>90</v>
      </c>
      <c r="B92" s="10" t="str">
        <f>"王莉莉"</f>
        <v>王莉莉</v>
      </c>
      <c r="C92" s="10" t="str">
        <f>"992202101809"</f>
        <v>992202101809</v>
      </c>
      <c r="D92" s="11" t="s">
        <v>6</v>
      </c>
      <c r="E92" s="12" t="s">
        <v>31</v>
      </c>
      <c r="F92" s="10" t="str">
        <f t="shared" si="11"/>
        <v>2021021</v>
      </c>
      <c r="G92" s="8" t="s">
        <v>182</v>
      </c>
      <c r="H92" s="8">
        <v>19.922999999999998</v>
      </c>
      <c r="I92" s="8" t="s">
        <v>209</v>
      </c>
      <c r="J92" s="8">
        <v>56.868000000000002</v>
      </c>
      <c r="K92" s="8">
        <v>76.790000000000006</v>
      </c>
    </row>
    <row r="93" spans="1:11" s="3" customFormat="1" x14ac:dyDescent="0.25">
      <c r="A93" s="15">
        <v>91</v>
      </c>
      <c r="B93" s="10" t="str">
        <f>"孙洁"</f>
        <v>孙洁</v>
      </c>
      <c r="C93" s="10" t="str">
        <f>"992202102019"</f>
        <v>992202102019</v>
      </c>
      <c r="D93" s="11" t="s">
        <v>6</v>
      </c>
      <c r="E93" s="12" t="s">
        <v>31</v>
      </c>
      <c r="F93" s="10" t="str">
        <f t="shared" si="11"/>
        <v>2021021</v>
      </c>
      <c r="G93" s="8" t="s">
        <v>64</v>
      </c>
      <c r="H93" s="8">
        <v>21.669</v>
      </c>
      <c r="I93" s="8" t="s">
        <v>93</v>
      </c>
      <c r="J93" s="8">
        <v>55.125</v>
      </c>
      <c r="K93" s="8">
        <v>76.790000000000006</v>
      </c>
    </row>
    <row r="94" spans="1:11" s="3" customFormat="1" x14ac:dyDescent="0.25">
      <c r="A94" s="15">
        <v>92</v>
      </c>
      <c r="B94" s="10" t="str">
        <f>"李雅如"</f>
        <v>李雅如</v>
      </c>
      <c r="C94" s="10" t="str">
        <f>"992202102106"</f>
        <v>992202102106</v>
      </c>
      <c r="D94" s="11" t="s">
        <v>6</v>
      </c>
      <c r="E94" s="12" t="s">
        <v>31</v>
      </c>
      <c r="F94" s="10" t="str">
        <f t="shared" si="11"/>
        <v>2021021</v>
      </c>
      <c r="G94" s="8" t="s">
        <v>114</v>
      </c>
      <c r="H94" s="8">
        <v>21.167999999999999</v>
      </c>
      <c r="I94" s="8" t="s">
        <v>229</v>
      </c>
      <c r="J94" s="8">
        <v>55.622</v>
      </c>
      <c r="K94" s="8">
        <v>76.790000000000006</v>
      </c>
    </row>
    <row r="95" spans="1:11" s="3" customFormat="1" ht="58.2" customHeight="1" x14ac:dyDescent="0.25">
      <c r="A95" s="15">
        <v>93</v>
      </c>
      <c r="B95" s="10" t="str">
        <f>"段玲玲"</f>
        <v>段玲玲</v>
      </c>
      <c r="C95" s="10" t="str">
        <f>"992202100611"</f>
        <v>992202100611</v>
      </c>
      <c r="D95" s="11" t="s">
        <v>6</v>
      </c>
      <c r="E95" s="12" t="s">
        <v>20</v>
      </c>
      <c r="F95" s="10" t="str">
        <f>"2021022"</f>
        <v>2021022</v>
      </c>
      <c r="G95" s="8" t="s">
        <v>139</v>
      </c>
      <c r="H95" s="8">
        <v>22.023</v>
      </c>
      <c r="I95" s="8" t="s">
        <v>140</v>
      </c>
      <c r="J95" s="8">
        <v>45.863999999999997</v>
      </c>
      <c r="K95" s="8">
        <v>67.89</v>
      </c>
    </row>
    <row r="96" spans="1:11" s="3" customFormat="1" x14ac:dyDescent="0.25">
      <c r="A96" s="15">
        <v>94</v>
      </c>
      <c r="B96" s="10" t="str">
        <f>"许明生"</f>
        <v>许明生</v>
      </c>
      <c r="C96" s="10" t="str">
        <f>"992202101326"</f>
        <v>992202101326</v>
      </c>
      <c r="D96" s="11" t="s">
        <v>6</v>
      </c>
      <c r="E96" s="12" t="s">
        <v>25</v>
      </c>
      <c r="F96" s="10" t="str">
        <f t="shared" ref="F96:F99" si="12">"2021023"</f>
        <v>2021023</v>
      </c>
      <c r="G96" s="8" t="s">
        <v>180</v>
      </c>
      <c r="H96" s="8">
        <v>24.071999999999999</v>
      </c>
      <c r="I96" s="8" t="s">
        <v>181</v>
      </c>
      <c r="J96" s="8">
        <v>64.266999999999996</v>
      </c>
      <c r="K96" s="8">
        <v>88.34</v>
      </c>
    </row>
    <row r="97" spans="1:11" s="3" customFormat="1" x14ac:dyDescent="0.25">
      <c r="A97" s="15">
        <v>95</v>
      </c>
      <c r="B97" s="10" t="str">
        <f>"陆璐"</f>
        <v>陆璐</v>
      </c>
      <c r="C97" s="10" t="str">
        <f>"992202101225"</f>
        <v>992202101225</v>
      </c>
      <c r="D97" s="11" t="s">
        <v>6</v>
      </c>
      <c r="E97" s="12" t="s">
        <v>25</v>
      </c>
      <c r="F97" s="10" t="str">
        <f t="shared" si="12"/>
        <v>2021023</v>
      </c>
      <c r="G97" s="8" t="s">
        <v>173</v>
      </c>
      <c r="H97" s="8">
        <v>23.036999999999999</v>
      </c>
      <c r="I97" s="8" t="s">
        <v>174</v>
      </c>
      <c r="J97" s="8">
        <v>63.063000000000002</v>
      </c>
      <c r="K97" s="8">
        <v>86.1</v>
      </c>
    </row>
    <row r="98" spans="1:11" s="3" customFormat="1" x14ac:dyDescent="0.25">
      <c r="A98" s="15">
        <v>96</v>
      </c>
      <c r="B98" s="10" t="str">
        <f>"王婷"</f>
        <v>王婷</v>
      </c>
      <c r="C98" s="10" t="str">
        <f>"992202101323"</f>
        <v>992202101323</v>
      </c>
      <c r="D98" s="11" t="s">
        <v>6</v>
      </c>
      <c r="E98" s="12" t="s">
        <v>25</v>
      </c>
      <c r="F98" s="10" t="str">
        <f t="shared" si="12"/>
        <v>2021023</v>
      </c>
      <c r="G98" s="8" t="s">
        <v>177</v>
      </c>
      <c r="H98" s="8">
        <v>24.834</v>
      </c>
      <c r="I98" s="8" t="s">
        <v>178</v>
      </c>
      <c r="J98" s="8">
        <v>61.116999999999997</v>
      </c>
      <c r="K98" s="8">
        <v>85.95</v>
      </c>
    </row>
    <row r="99" spans="1:11" s="3" customFormat="1" x14ac:dyDescent="0.25">
      <c r="A99" s="15">
        <v>97</v>
      </c>
      <c r="B99" s="10" t="str">
        <f>"都玲玲"</f>
        <v>都玲玲</v>
      </c>
      <c r="C99" s="10" t="str">
        <f>"992202101214"</f>
        <v>992202101214</v>
      </c>
      <c r="D99" s="11" t="s">
        <v>6</v>
      </c>
      <c r="E99" s="12" t="s">
        <v>25</v>
      </c>
      <c r="F99" s="10" t="str">
        <f t="shared" si="12"/>
        <v>2021023</v>
      </c>
      <c r="G99" s="8" t="s">
        <v>170</v>
      </c>
      <c r="H99" s="8">
        <v>24.573</v>
      </c>
      <c r="I99" s="8" t="s">
        <v>171</v>
      </c>
      <c r="J99" s="8">
        <v>60.767000000000003</v>
      </c>
      <c r="K99" s="8">
        <v>85.34</v>
      </c>
    </row>
    <row r="100" spans="1:11" s="3" customFormat="1" x14ac:dyDescent="0.25">
      <c r="A100" s="15">
        <v>98</v>
      </c>
      <c r="B100" s="10" t="str">
        <f>"李文龙"</f>
        <v>李文龙</v>
      </c>
      <c r="C100" s="10" t="str">
        <f>"992202100430"</f>
        <v>992202100430</v>
      </c>
      <c r="D100" s="11" t="s">
        <v>6</v>
      </c>
      <c r="E100" s="12" t="s">
        <v>15</v>
      </c>
      <c r="F100" s="10" t="str">
        <f t="shared" ref="F100" si="13">"2021024"</f>
        <v>2021024</v>
      </c>
      <c r="G100" s="8" t="s">
        <v>121</v>
      </c>
      <c r="H100" s="8">
        <v>23.585999999999999</v>
      </c>
      <c r="I100" s="8" t="s">
        <v>122</v>
      </c>
      <c r="J100" s="8">
        <v>51.603999999999999</v>
      </c>
      <c r="K100" s="8">
        <v>75.19</v>
      </c>
    </row>
    <row r="101" spans="1:11" s="3" customFormat="1" x14ac:dyDescent="0.25">
      <c r="A101" s="15">
        <v>99</v>
      </c>
      <c r="B101" s="10" t="str">
        <f>"华琼"</f>
        <v>华琼</v>
      </c>
      <c r="C101" s="10" t="str">
        <f>"992202101602"</f>
        <v>992202101602</v>
      </c>
      <c r="D101" s="11" t="s">
        <v>24</v>
      </c>
      <c r="E101" s="12" t="s">
        <v>28</v>
      </c>
      <c r="F101" s="10" t="str">
        <f>"2021025"</f>
        <v>2021025</v>
      </c>
      <c r="G101" s="8" t="s">
        <v>188</v>
      </c>
      <c r="H101" s="8">
        <v>17.832000000000001</v>
      </c>
      <c r="I101" s="8" t="s">
        <v>189</v>
      </c>
      <c r="J101" s="8">
        <v>45.563000000000002</v>
      </c>
      <c r="K101" s="8">
        <v>63.4</v>
      </c>
    </row>
    <row r="102" spans="1:11" s="3" customFormat="1" x14ac:dyDescent="0.25">
      <c r="A102" s="15">
        <v>100</v>
      </c>
      <c r="B102" s="10" t="str">
        <f>"卢静"</f>
        <v>卢静</v>
      </c>
      <c r="C102" s="10" t="str">
        <f>"992202100828"</f>
        <v>992202100828</v>
      </c>
      <c r="D102" s="11" t="s">
        <v>24</v>
      </c>
      <c r="E102" s="14" t="s">
        <v>23</v>
      </c>
      <c r="F102" s="10" t="str">
        <f t="shared" ref="F102" si="14">"2021026"</f>
        <v>2021026</v>
      </c>
      <c r="G102" s="8" t="s">
        <v>156</v>
      </c>
      <c r="H102" s="8">
        <v>22.632000000000001</v>
      </c>
      <c r="I102" s="8" t="s">
        <v>157</v>
      </c>
      <c r="J102" s="8">
        <v>56.265999999999998</v>
      </c>
      <c r="K102" s="8">
        <v>78.900000000000006</v>
      </c>
    </row>
    <row r="103" spans="1:11" s="3" customFormat="1" ht="28.8" x14ac:dyDescent="0.25">
      <c r="A103" s="15">
        <v>101</v>
      </c>
      <c r="B103" s="10" t="str">
        <f>"司兴宇"</f>
        <v>司兴宇</v>
      </c>
      <c r="C103" s="10" t="str">
        <f>"992202101704"</f>
        <v>992202101704</v>
      </c>
      <c r="D103" s="11" t="s">
        <v>24</v>
      </c>
      <c r="E103" s="13" t="s">
        <v>29</v>
      </c>
      <c r="F103" s="10" t="str">
        <f t="shared" ref="F103" si="15">"2021027"</f>
        <v>2021027</v>
      </c>
      <c r="G103" s="8" t="s">
        <v>194</v>
      </c>
      <c r="H103" s="8">
        <v>22.56</v>
      </c>
      <c r="I103" s="8" t="s">
        <v>195</v>
      </c>
      <c r="J103" s="8">
        <v>58.820999999999998</v>
      </c>
      <c r="K103" s="8">
        <v>81.38</v>
      </c>
    </row>
    <row r="104" spans="1:11" s="3" customFormat="1" x14ac:dyDescent="0.25">
      <c r="A104" s="15">
        <v>102</v>
      </c>
      <c r="B104" s="10" t="str">
        <f>"周敏"</f>
        <v>周敏</v>
      </c>
      <c r="C104" s="10" t="str">
        <f>"992202102628"</f>
        <v>992202102628</v>
      </c>
      <c r="D104" s="11" t="s">
        <v>24</v>
      </c>
      <c r="E104" s="12" t="s">
        <v>31</v>
      </c>
      <c r="F104" s="10" t="str">
        <f t="shared" ref="F104:F107" si="16">"2021028"</f>
        <v>2021028</v>
      </c>
      <c r="G104" s="8" t="s">
        <v>84</v>
      </c>
      <c r="H104" s="8">
        <v>23.253</v>
      </c>
      <c r="I104" s="8" t="s">
        <v>253</v>
      </c>
      <c r="J104" s="8">
        <v>61.404000000000003</v>
      </c>
      <c r="K104" s="8">
        <v>84.66</v>
      </c>
    </row>
    <row r="105" spans="1:11" s="3" customFormat="1" x14ac:dyDescent="0.25">
      <c r="A105" s="15">
        <v>103</v>
      </c>
      <c r="B105" s="10" t="str">
        <f>"刘敏"</f>
        <v>刘敏</v>
      </c>
      <c r="C105" s="10" t="str">
        <f>"992202102607"</f>
        <v>992202102607</v>
      </c>
      <c r="D105" s="11" t="s">
        <v>24</v>
      </c>
      <c r="E105" s="12" t="s">
        <v>31</v>
      </c>
      <c r="F105" s="10" t="str">
        <f t="shared" si="16"/>
        <v>2021028</v>
      </c>
      <c r="G105" s="8" t="s">
        <v>250</v>
      </c>
      <c r="H105" s="8">
        <v>24.855</v>
      </c>
      <c r="I105" s="8" t="s">
        <v>246</v>
      </c>
      <c r="J105" s="8">
        <v>59.64</v>
      </c>
      <c r="K105" s="8">
        <v>84.5</v>
      </c>
    </row>
    <row r="106" spans="1:11" s="3" customFormat="1" x14ac:dyDescent="0.25">
      <c r="A106" s="15">
        <v>104</v>
      </c>
      <c r="B106" s="10" t="str">
        <f>"王月"</f>
        <v>王月</v>
      </c>
      <c r="C106" s="10" t="str">
        <f>"992202102502"</f>
        <v>992202102502</v>
      </c>
      <c r="D106" s="11" t="s">
        <v>24</v>
      </c>
      <c r="E106" s="12" t="s">
        <v>31</v>
      </c>
      <c r="F106" s="10" t="str">
        <f t="shared" si="16"/>
        <v>2021028</v>
      </c>
      <c r="G106" s="8" t="s">
        <v>247</v>
      </c>
      <c r="H106" s="8">
        <v>23.169</v>
      </c>
      <c r="I106" s="8" t="s">
        <v>248</v>
      </c>
      <c r="J106" s="8">
        <v>59.563000000000002</v>
      </c>
      <c r="K106" s="8">
        <v>82.73</v>
      </c>
    </row>
    <row r="107" spans="1:11" s="3" customFormat="1" x14ac:dyDescent="0.25">
      <c r="A107" s="15">
        <v>105</v>
      </c>
      <c r="B107" s="10" t="str">
        <f>"张文锦"</f>
        <v>张文锦</v>
      </c>
      <c r="C107" s="10" t="str">
        <f>"992202102616"</f>
        <v>992202102616</v>
      </c>
      <c r="D107" s="11" t="s">
        <v>24</v>
      </c>
      <c r="E107" s="12" t="s">
        <v>31</v>
      </c>
      <c r="F107" s="10" t="str">
        <f t="shared" si="16"/>
        <v>2021028</v>
      </c>
      <c r="G107" s="8" t="s">
        <v>251</v>
      </c>
      <c r="H107" s="8">
        <v>23.988</v>
      </c>
      <c r="I107" s="8" t="s">
        <v>203</v>
      </c>
      <c r="J107" s="8">
        <v>58.652999999999999</v>
      </c>
      <c r="K107" s="8">
        <v>82.64</v>
      </c>
    </row>
    <row r="108" spans="1:11" s="3" customFormat="1" ht="28.8" x14ac:dyDescent="0.25">
      <c r="A108" s="15">
        <v>106</v>
      </c>
      <c r="B108" s="10" t="str">
        <f>"钟秀"</f>
        <v>钟秀</v>
      </c>
      <c r="C108" s="10" t="str">
        <f>"992202101712"</f>
        <v>992202101712</v>
      </c>
      <c r="D108" s="11" t="s">
        <v>22</v>
      </c>
      <c r="E108" s="13" t="s">
        <v>29</v>
      </c>
      <c r="F108" s="10" t="str">
        <f>"2021029"</f>
        <v>2021029</v>
      </c>
      <c r="G108" s="8" t="s">
        <v>196</v>
      </c>
      <c r="H108" s="8">
        <v>21.341999999999999</v>
      </c>
      <c r="I108" s="8" t="s">
        <v>197</v>
      </c>
      <c r="J108" s="8">
        <v>58.079000000000001</v>
      </c>
      <c r="K108" s="8">
        <v>79.42</v>
      </c>
    </row>
    <row r="109" spans="1:11" s="3" customFormat="1" x14ac:dyDescent="0.25">
      <c r="A109" s="15">
        <v>107</v>
      </c>
      <c r="B109" s="10" t="str">
        <f>"丁晓梅"</f>
        <v>丁晓梅</v>
      </c>
      <c r="C109" s="10" t="str">
        <f>"992202101604"</f>
        <v>992202101604</v>
      </c>
      <c r="D109" s="11" t="s">
        <v>22</v>
      </c>
      <c r="E109" s="12" t="s">
        <v>28</v>
      </c>
      <c r="F109" s="10" t="str">
        <f>"2021030"</f>
        <v>2021030</v>
      </c>
      <c r="G109" s="8" t="s">
        <v>190</v>
      </c>
      <c r="H109" s="8">
        <v>21.434999999999999</v>
      </c>
      <c r="I109" s="8" t="s">
        <v>191</v>
      </c>
      <c r="J109" s="8">
        <v>56.084000000000003</v>
      </c>
      <c r="K109" s="8">
        <v>77.52</v>
      </c>
    </row>
    <row r="110" spans="1:11" s="3" customFormat="1" x14ac:dyDescent="0.25">
      <c r="A110" s="15">
        <v>108</v>
      </c>
      <c r="B110" s="10" t="str">
        <f>"黄浩哲"</f>
        <v>黄浩哲</v>
      </c>
      <c r="C110" s="10" t="str">
        <f>"992202101611"</f>
        <v>992202101611</v>
      </c>
      <c r="D110" s="11" t="s">
        <v>22</v>
      </c>
      <c r="E110" s="12" t="s">
        <v>28</v>
      </c>
      <c r="F110" s="10" t="str">
        <f>"2021031"</f>
        <v>2021031</v>
      </c>
      <c r="G110" s="8" t="s">
        <v>192</v>
      </c>
      <c r="H110" s="8">
        <v>22.385999999999999</v>
      </c>
      <c r="I110" s="8" t="s">
        <v>193</v>
      </c>
      <c r="J110" s="8">
        <v>47.551000000000002</v>
      </c>
      <c r="K110" s="8">
        <v>69.94</v>
      </c>
    </row>
    <row r="111" spans="1:11" s="3" customFormat="1" x14ac:dyDescent="0.25">
      <c r="A111" s="15">
        <v>109</v>
      </c>
      <c r="B111" s="10" t="str">
        <f>"谢思雨"</f>
        <v>谢思雨</v>
      </c>
      <c r="C111" s="10" t="str">
        <f>"992202101420"</f>
        <v>992202101420</v>
      </c>
      <c r="D111" s="11" t="s">
        <v>22</v>
      </c>
      <c r="E111" s="12" t="s">
        <v>26</v>
      </c>
      <c r="F111" s="10" t="str">
        <f t="shared" ref="F111" si="17">"2021033"</f>
        <v>2021033</v>
      </c>
      <c r="G111" s="8" t="s">
        <v>183</v>
      </c>
      <c r="H111" s="8">
        <v>23.568000000000001</v>
      </c>
      <c r="I111" s="8" t="s">
        <v>184</v>
      </c>
      <c r="J111" s="8">
        <v>51.786000000000001</v>
      </c>
      <c r="K111" s="8">
        <v>75.349999999999994</v>
      </c>
    </row>
    <row r="112" spans="1:11" s="3" customFormat="1" x14ac:dyDescent="0.25">
      <c r="A112" s="15">
        <v>110</v>
      </c>
      <c r="B112" s="10" t="str">
        <f>"宣首勇"</f>
        <v>宣首勇</v>
      </c>
      <c r="C112" s="10" t="str">
        <f>"992202100724"</f>
        <v>992202100724</v>
      </c>
      <c r="D112" s="11" t="s">
        <v>22</v>
      </c>
      <c r="E112" s="13" t="s">
        <v>21</v>
      </c>
      <c r="F112" s="10" t="str">
        <f t="shared" ref="F112" si="18">"2021034"</f>
        <v>2021034</v>
      </c>
      <c r="G112" s="8" t="s">
        <v>143</v>
      </c>
      <c r="H112" s="8">
        <v>22.689</v>
      </c>
      <c r="I112" s="8" t="s">
        <v>144</v>
      </c>
      <c r="J112" s="8">
        <v>45.667999999999999</v>
      </c>
      <c r="K112" s="8">
        <v>68.36</v>
      </c>
    </row>
    <row r="113" spans="1:11" s="3" customFormat="1" x14ac:dyDescent="0.25">
      <c r="A113" s="15">
        <v>111</v>
      </c>
      <c r="B113" s="10" t="str">
        <f>"何轮"</f>
        <v>何轮</v>
      </c>
      <c r="C113" s="10" t="str">
        <f>"992202101002"</f>
        <v>992202101002</v>
      </c>
      <c r="D113" s="11" t="s">
        <v>22</v>
      </c>
      <c r="E113" s="14" t="s">
        <v>23</v>
      </c>
      <c r="F113" s="10" t="str">
        <f t="shared" ref="F113:F116" si="19">"2021035"</f>
        <v>2021035</v>
      </c>
      <c r="G113" s="8" t="s">
        <v>168</v>
      </c>
      <c r="H113" s="8">
        <v>23.207999999999998</v>
      </c>
      <c r="I113" s="8" t="s">
        <v>169</v>
      </c>
      <c r="J113" s="8">
        <v>61.088999999999999</v>
      </c>
      <c r="K113" s="8">
        <v>84.3</v>
      </c>
    </row>
    <row r="114" spans="1:11" s="3" customFormat="1" x14ac:dyDescent="0.25">
      <c r="A114" s="15">
        <v>112</v>
      </c>
      <c r="B114" s="10" t="str">
        <f>"张月"</f>
        <v>张月</v>
      </c>
      <c r="C114" s="10" t="str">
        <f>"992202100908"</f>
        <v>992202100908</v>
      </c>
      <c r="D114" s="11" t="s">
        <v>22</v>
      </c>
      <c r="E114" s="14" t="s">
        <v>23</v>
      </c>
      <c r="F114" s="10" t="str">
        <f t="shared" si="19"/>
        <v>2021035</v>
      </c>
      <c r="G114" s="8" t="s">
        <v>159</v>
      </c>
      <c r="H114" s="8">
        <v>22.196999999999999</v>
      </c>
      <c r="I114" s="8" t="s">
        <v>160</v>
      </c>
      <c r="J114" s="8">
        <v>60.256</v>
      </c>
      <c r="K114" s="8">
        <v>82.45</v>
      </c>
    </row>
    <row r="115" spans="1:11" s="3" customFormat="1" x14ac:dyDescent="0.25">
      <c r="A115" s="15">
        <v>113</v>
      </c>
      <c r="B115" s="10" t="str">
        <f>"张伟"</f>
        <v>张伟</v>
      </c>
      <c r="C115" s="10" t="str">
        <f>"992202100918"</f>
        <v>992202100918</v>
      </c>
      <c r="D115" s="11" t="s">
        <v>22</v>
      </c>
      <c r="E115" s="14" t="s">
        <v>23</v>
      </c>
      <c r="F115" s="10" t="str">
        <f t="shared" si="19"/>
        <v>2021035</v>
      </c>
      <c r="G115" s="8" t="s">
        <v>165</v>
      </c>
      <c r="H115" s="8">
        <v>22.277999999999999</v>
      </c>
      <c r="I115" s="8" t="s">
        <v>166</v>
      </c>
      <c r="J115" s="8">
        <v>58.421999999999997</v>
      </c>
      <c r="K115" s="8">
        <v>80.7</v>
      </c>
    </row>
    <row r="116" spans="1:11" s="3" customFormat="1" x14ac:dyDescent="0.25">
      <c r="A116" s="15">
        <v>114</v>
      </c>
      <c r="B116" s="10" t="str">
        <f>"代悦"</f>
        <v>代悦</v>
      </c>
      <c r="C116" s="10" t="str">
        <f>"992202100914"</f>
        <v>992202100914</v>
      </c>
      <c r="D116" s="11" t="s">
        <v>22</v>
      </c>
      <c r="E116" s="14" t="s">
        <v>23</v>
      </c>
      <c r="F116" s="10" t="str">
        <f t="shared" si="19"/>
        <v>2021035</v>
      </c>
      <c r="G116" s="8" t="s">
        <v>163</v>
      </c>
      <c r="H116" s="8">
        <v>22.106999999999999</v>
      </c>
      <c r="I116" s="8" t="s">
        <v>164</v>
      </c>
      <c r="J116" s="8">
        <v>57.323</v>
      </c>
      <c r="K116" s="8">
        <v>79.430000000000007</v>
      </c>
    </row>
    <row r="117" spans="1:11" s="3" customFormat="1" x14ac:dyDescent="0.25">
      <c r="A117" s="15">
        <v>115</v>
      </c>
      <c r="B117" s="10" t="str">
        <f>"孔祥丽"</f>
        <v>孔祥丽</v>
      </c>
      <c r="C117" s="10" t="str">
        <f>"992202101508"</f>
        <v>992202101508</v>
      </c>
      <c r="D117" s="11" t="s">
        <v>22</v>
      </c>
      <c r="E117" s="12" t="s">
        <v>27</v>
      </c>
      <c r="F117" s="10" t="str">
        <f t="shared" ref="F117" si="20">"2021036"</f>
        <v>2021036</v>
      </c>
      <c r="G117" s="8" t="s">
        <v>186</v>
      </c>
      <c r="H117" s="8">
        <v>24.263999999999999</v>
      </c>
      <c r="I117" s="8" t="s">
        <v>187</v>
      </c>
      <c r="J117" s="8">
        <v>59.402000000000001</v>
      </c>
      <c r="K117" s="8">
        <v>83.67</v>
      </c>
    </row>
    <row r="118" spans="1:11" s="4" customFormat="1" x14ac:dyDescent="0.25">
      <c r="A118" s="15">
        <v>116</v>
      </c>
      <c r="B118" s="10" t="str">
        <f>"李雯"</f>
        <v>李雯</v>
      </c>
      <c r="C118" s="10" t="str">
        <f>"992202103006"</f>
        <v>992202103006</v>
      </c>
      <c r="D118" s="11" t="s">
        <v>22</v>
      </c>
      <c r="E118" s="12" t="s">
        <v>31</v>
      </c>
      <c r="F118" s="10" t="str">
        <f t="shared" ref="F118:F124" si="21">"2021037"</f>
        <v>2021037</v>
      </c>
      <c r="G118" s="8" t="s">
        <v>259</v>
      </c>
      <c r="H118" s="8">
        <v>21.428999999999998</v>
      </c>
      <c r="I118" s="8" t="s">
        <v>260</v>
      </c>
      <c r="J118" s="8">
        <v>59.703000000000003</v>
      </c>
      <c r="K118" s="8">
        <v>81.13</v>
      </c>
    </row>
    <row r="119" spans="1:11" s="3" customFormat="1" x14ac:dyDescent="0.25">
      <c r="A119" s="15">
        <v>117</v>
      </c>
      <c r="B119" s="10" t="str">
        <f>"徐玉鑫"</f>
        <v>徐玉鑫</v>
      </c>
      <c r="C119" s="10" t="str">
        <f>"992202103017"</f>
        <v>992202103017</v>
      </c>
      <c r="D119" s="11" t="s">
        <v>22</v>
      </c>
      <c r="E119" s="12" t="s">
        <v>31</v>
      </c>
      <c r="F119" s="10" t="str">
        <f t="shared" si="21"/>
        <v>2021037</v>
      </c>
      <c r="G119" s="8" t="s">
        <v>175</v>
      </c>
      <c r="H119" s="8">
        <v>24.344999999999999</v>
      </c>
      <c r="I119" s="8" t="s">
        <v>252</v>
      </c>
      <c r="J119" s="8">
        <v>56.762999999999998</v>
      </c>
      <c r="K119" s="8">
        <v>81.11</v>
      </c>
    </row>
    <row r="120" spans="1:11" s="3" customFormat="1" x14ac:dyDescent="0.25">
      <c r="A120" s="15">
        <v>118</v>
      </c>
      <c r="B120" s="10" t="str">
        <f>"郭媛媛"</f>
        <v>郭媛媛</v>
      </c>
      <c r="C120" s="10" t="str">
        <f>"992202102906"</f>
        <v>992202102906</v>
      </c>
      <c r="D120" s="11" t="s">
        <v>22</v>
      </c>
      <c r="E120" s="12" t="s">
        <v>31</v>
      </c>
      <c r="F120" s="10" t="str">
        <f t="shared" si="21"/>
        <v>2021037</v>
      </c>
      <c r="G120" s="8" t="s">
        <v>158</v>
      </c>
      <c r="H120" s="8">
        <v>23.234999999999999</v>
      </c>
      <c r="I120" s="8" t="s">
        <v>255</v>
      </c>
      <c r="J120" s="8">
        <v>57.665999999999997</v>
      </c>
      <c r="K120" s="8">
        <v>80.900000000000006</v>
      </c>
    </row>
    <row r="121" spans="1:11" s="3" customFormat="1" x14ac:dyDescent="0.25">
      <c r="A121" s="15">
        <v>119</v>
      </c>
      <c r="B121" s="10" t="str">
        <f>"胡敏"</f>
        <v>胡敏</v>
      </c>
      <c r="C121" s="10" t="str">
        <f>"992202102927"</f>
        <v>992202102927</v>
      </c>
      <c r="D121" s="11" t="s">
        <v>22</v>
      </c>
      <c r="E121" s="12" t="s">
        <v>31</v>
      </c>
      <c r="F121" s="10" t="str">
        <f t="shared" si="21"/>
        <v>2021037</v>
      </c>
      <c r="G121" s="8" t="s">
        <v>200</v>
      </c>
      <c r="H121" s="8">
        <v>19.875</v>
      </c>
      <c r="I121" s="8" t="s">
        <v>257</v>
      </c>
      <c r="J121" s="8">
        <v>60.283999999999999</v>
      </c>
      <c r="K121" s="8">
        <v>80.16</v>
      </c>
    </row>
    <row r="122" spans="1:11" s="3" customFormat="1" x14ac:dyDescent="0.25">
      <c r="A122" s="15">
        <v>120</v>
      </c>
      <c r="B122" s="10" t="str">
        <f>"朱小冬"</f>
        <v>朱小冬</v>
      </c>
      <c r="C122" s="10" t="str">
        <f>"992202102904"</f>
        <v>992202102904</v>
      </c>
      <c r="D122" s="11" t="s">
        <v>22</v>
      </c>
      <c r="E122" s="12" t="s">
        <v>31</v>
      </c>
      <c r="F122" s="10" t="str">
        <f t="shared" si="21"/>
        <v>2021037</v>
      </c>
      <c r="G122" s="8" t="s">
        <v>125</v>
      </c>
      <c r="H122" s="8">
        <v>21.198</v>
      </c>
      <c r="I122" s="8" t="s">
        <v>254</v>
      </c>
      <c r="J122" s="8">
        <v>57.253</v>
      </c>
      <c r="K122" s="8">
        <v>78.45</v>
      </c>
    </row>
    <row r="123" spans="1:11" s="3" customFormat="1" x14ac:dyDescent="0.25">
      <c r="A123" s="15">
        <v>121</v>
      </c>
      <c r="B123" s="10" t="str">
        <f>"周婕"</f>
        <v>周婕</v>
      </c>
      <c r="C123" s="10" t="str">
        <f>"992202103001"</f>
        <v>992202103001</v>
      </c>
      <c r="D123" s="11" t="s">
        <v>22</v>
      </c>
      <c r="E123" s="12" t="s">
        <v>31</v>
      </c>
      <c r="F123" s="10" t="str">
        <f t="shared" si="21"/>
        <v>2021037</v>
      </c>
      <c r="G123" s="8" t="s">
        <v>233</v>
      </c>
      <c r="H123" s="8">
        <v>21.213000000000001</v>
      </c>
      <c r="I123" s="8" t="s">
        <v>258</v>
      </c>
      <c r="J123" s="8">
        <v>57.183</v>
      </c>
      <c r="K123" s="8">
        <v>78.400000000000006</v>
      </c>
    </row>
    <row r="124" spans="1:11" s="3" customFormat="1" x14ac:dyDescent="0.25">
      <c r="A124" s="15">
        <v>122</v>
      </c>
      <c r="B124" s="10" t="str">
        <f>"藏春玲"</f>
        <v>藏春玲</v>
      </c>
      <c r="C124" s="10" t="str">
        <f>"992202103014"</f>
        <v>992202103014</v>
      </c>
      <c r="D124" s="11" t="s">
        <v>22</v>
      </c>
      <c r="E124" s="12" t="s">
        <v>31</v>
      </c>
      <c r="F124" s="10" t="str">
        <f t="shared" si="21"/>
        <v>2021037</v>
      </c>
      <c r="G124" s="8" t="s">
        <v>261</v>
      </c>
      <c r="H124" s="8">
        <v>20.22</v>
      </c>
      <c r="I124" s="8" t="s">
        <v>262</v>
      </c>
      <c r="J124" s="8">
        <v>57.953000000000003</v>
      </c>
      <c r="K124" s="8">
        <v>78.17</v>
      </c>
    </row>
  </sheetData>
  <mergeCells count="1">
    <mergeCell ref="A1:K1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>
    <oddFooter>&amp;C第&amp;P页共&amp;N页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</dc:creator>
  <cp:lastModifiedBy>YU</cp:lastModifiedBy>
  <cp:lastPrinted>2021-07-19T11:25:24Z</cp:lastPrinted>
  <dcterms:created xsi:type="dcterms:W3CDTF">2021-07-01T04:31:04Z</dcterms:created>
  <dcterms:modified xsi:type="dcterms:W3CDTF">2021-07-19T11:25:27Z</dcterms:modified>
</cp:coreProperties>
</file>